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30" windowHeight="4380" activeTab="0"/>
  </bookViews>
  <sheets>
    <sheet name="OP Chart" sheetId="1" r:id="rId1"/>
    <sheet name="OP" sheetId="2" r:id="rId2"/>
    <sheet name="PA1 chart" sheetId="3" r:id="rId3"/>
    <sheet name="Priority Axis 1" sheetId="4" r:id="rId4"/>
    <sheet name="IM 1.1" sheetId="5" r:id="rId5"/>
    <sheet name="Call CCU" sheetId="6" r:id="rId6"/>
    <sheet name="IM 1.2" sheetId="7" r:id="rId7"/>
    <sheet name="Call CA" sheetId="8" r:id="rId8"/>
    <sheet name="IM 1.3" sheetId="9" r:id="rId9"/>
    <sheet name="Call AA" sheetId="10" r:id="rId10"/>
    <sheet name="IM 1.4" sheetId="11" r:id="rId11"/>
    <sheet name="Call MA" sheetId="12" r:id="rId12"/>
    <sheet name="IM 1.5 " sheetId="13" r:id="rId13"/>
    <sheet name="Call RLA" sheetId="14" r:id="rId14"/>
    <sheet name="PA2 chart " sheetId="15" r:id="rId15"/>
    <sheet name="Priority Axis 2" sheetId="16" r:id="rId16"/>
    <sheet name="Project 1" sheetId="17" r:id="rId17"/>
    <sheet name="Project 2" sheetId="18" r:id="rId18"/>
    <sheet name="Project 3" sheetId="19" r:id="rId19"/>
    <sheet name="Project 4" sheetId="20" r:id="rId20"/>
    <sheet name="Project 5" sheetId="21" r:id="rId21"/>
    <sheet name="Project 6" sheetId="22" r:id="rId22"/>
    <sheet name="PA3 chart" sheetId="23" r:id="rId23"/>
    <sheet name="Priority Axis 3" sheetId="24" r:id="rId24"/>
    <sheet name="IM 3.1" sheetId="25" r:id="rId25"/>
    <sheet name="Call 3.1" sheetId="26" r:id="rId26"/>
    <sheet name="IM 3.2" sheetId="27" r:id="rId27"/>
    <sheet name="Call 3.2" sheetId="28" r:id="rId28"/>
    <sheet name="IM 3.3" sheetId="29" r:id="rId29"/>
    <sheet name="Call 3.3" sheetId="30" r:id="rId30"/>
  </sheets>
  <externalReferences>
    <externalReference r:id="rId33"/>
  </externalReferences>
  <definedNames>
    <definedName name="_xlnm.Print_Area" localSheetId="25">'Call 3.1'!$A$1:$M$86</definedName>
    <definedName name="_xlnm.Print_Area" localSheetId="27">'Call 3.2'!$A$1:$M$86</definedName>
    <definedName name="_xlnm.Print_Area" localSheetId="29">'Call 3.3'!$A$1:$M$86</definedName>
    <definedName name="_xlnm.Print_Area" localSheetId="9">'Call AA'!$A$1:$M$86</definedName>
    <definedName name="_xlnm.Print_Area" localSheetId="7">'Call CA'!$A$1:$N$88</definedName>
    <definedName name="_xlnm.Print_Area" localSheetId="5">'Call CCU'!$A$1:$O$88</definedName>
    <definedName name="_xlnm.Print_Area" localSheetId="11">'Call MA'!$A$1:$M$86</definedName>
    <definedName name="_xlnm.Print_Area" localSheetId="13">'Call RLA'!$A$1:$M$86</definedName>
    <definedName name="_xlnm.Print_Area" localSheetId="4">'IM 1.1'!$A$1:$M$58</definedName>
    <definedName name="_xlnm.Print_Area" localSheetId="6">'IM 1.2'!$A$1:$M$58</definedName>
    <definedName name="_xlnm.Print_Area" localSheetId="8">'IM 1.3'!$A$1:$M$58</definedName>
    <definedName name="_xlnm.Print_Area" localSheetId="10">'IM 1.4'!$A$1:$M$58</definedName>
    <definedName name="_xlnm.Print_Area" localSheetId="12">'IM 1.5 '!$A$1:$M$58</definedName>
    <definedName name="_xlnm.Print_Area" localSheetId="24">'IM 3.1'!$A$1:$M$58</definedName>
    <definedName name="_xlnm.Print_Area" localSheetId="26">'IM 3.2'!$A$1:$M$58</definedName>
    <definedName name="_xlnm.Print_Area" localSheetId="28">'IM 3.3'!$A$1:$M$58</definedName>
  </definedNames>
  <calcPr fullCalcOnLoad="1"/>
</workbook>
</file>

<file path=xl/sharedStrings.xml><?xml version="1.0" encoding="utf-8"?>
<sst xmlns="http://schemas.openxmlformats.org/spreadsheetml/2006/main" count="2305" uniqueCount="212">
  <si>
    <t>2007-2013 OP Commitments</t>
  </si>
  <si>
    <t>Year</t>
  </si>
  <si>
    <t>Annual Allocation
(NSRF Dec)</t>
  </si>
  <si>
    <t>Total 2007-2013</t>
  </si>
  <si>
    <t>Quarter</t>
  </si>
  <si>
    <t>Commitments</t>
  </si>
  <si>
    <t>N+3/2 Adv. Incl</t>
  </si>
  <si>
    <t>N+3/2 Adv. Excl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</si>
  <si>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</si>
  <si>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</si>
  <si>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</si>
  <si>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</si>
  <si>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</si>
  <si>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</si>
  <si>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</si>
  <si>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</si>
  <si>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</si>
  <si>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</si>
  <si>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</si>
  <si>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</si>
  <si>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I/10</t>
  </si>
  <si>
    <t>II/10</t>
  </si>
  <si>
    <t>III/10</t>
  </si>
  <si>
    <t>IV/10</t>
  </si>
  <si>
    <t>I/11</t>
  </si>
  <si>
    <t>II/11</t>
  </si>
  <si>
    <t>III/11</t>
  </si>
  <si>
    <t>IV/11</t>
  </si>
  <si>
    <t>I/12</t>
  </si>
  <si>
    <t>II/12</t>
  </si>
  <si>
    <t>III/12</t>
  </si>
  <si>
    <t>IV/12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</si>
  <si>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</si>
  <si>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</si>
  <si>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</si>
  <si>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</si>
  <si>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</si>
  <si>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</si>
  <si>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</si>
  <si>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</si>
  <si>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</si>
  <si>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</si>
  <si>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</si>
  <si>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</si>
  <si>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Allocation
(OP)</t>
  </si>
  <si>
    <t>Distribution of Advance Payments (PA Distribution Coefficient X Total Advance)</t>
  </si>
  <si>
    <t>Total</t>
  </si>
  <si>
    <t>Annual PA distribution coefficient
(Annual Allocation/Total 2007-20013)</t>
  </si>
  <si>
    <t xml:space="preserve"> Distribution of Advance Payments among Priority Axes</t>
  </si>
  <si>
    <t xml:space="preserve"> PA Distribution Coefficient
(PA Allocation/Total 2007-20013)</t>
  </si>
  <si>
    <t>PA1</t>
  </si>
  <si>
    <t>PA2</t>
  </si>
  <si>
    <t>PA3</t>
  </si>
  <si>
    <t>2. Priority Axes Advance Payment</t>
  </si>
  <si>
    <t>Total adv. payment</t>
  </si>
  <si>
    <t xml:space="preserve"> Distribution of Advance Payments among operations</t>
  </si>
  <si>
    <t xml:space="preserve">Allocation
</t>
  </si>
  <si>
    <t>Table 1 Financial profile - Absolute figures</t>
  </si>
  <si>
    <t>Table 2 Financial profile - Cumulative figures</t>
  </si>
  <si>
    <t xml:space="preserve"> </t>
  </si>
  <si>
    <t>3. Table 2 Priority Axis 1 financial profile - cumulative figures</t>
  </si>
  <si>
    <t>1. Table 1 Priority Axis 1 commitment profile - absolute figures</t>
  </si>
  <si>
    <t>PA 1 adv. payment</t>
  </si>
  <si>
    <t xml:space="preserve">Call </t>
  </si>
  <si>
    <t>a</t>
  </si>
  <si>
    <t>b</t>
  </si>
  <si>
    <t>.25a+.2b</t>
  </si>
  <si>
    <t>.3a+.1b</t>
  </si>
  <si>
    <t>.15a</t>
  </si>
  <si>
    <t>c</t>
  </si>
  <si>
    <t>.25a+.1b</t>
  </si>
  <si>
    <t>.2a+.1b+.25c</t>
  </si>
  <si>
    <t>.05b+.25c</t>
  </si>
  <si>
    <t>.25a+.1b+.15c</t>
  </si>
  <si>
    <t>.1b+.35c</t>
  </si>
  <si>
    <t>d</t>
  </si>
  <si>
    <t>.05b+.05c</t>
  </si>
  <si>
    <t>.1b+.3c</t>
  </si>
  <si>
    <t>.2c+.25d+.05b</t>
  </si>
  <si>
    <t>.1b+.2c</t>
  </si>
  <si>
    <t>.25d+.05b</t>
  </si>
  <si>
    <t>.1b+.15d</t>
  </si>
  <si>
    <t>.1b+.25d</t>
  </si>
  <si>
    <t>e</t>
  </si>
  <si>
    <t>.05d</t>
  </si>
  <si>
    <t>.1b+.3d</t>
  </si>
  <si>
    <t>f</t>
  </si>
  <si>
    <t>.2d+.2b+.25e+.2f</t>
  </si>
  <si>
    <t>.25e+.1f</t>
  </si>
  <si>
    <t>.01f+.2e</t>
  </si>
  <si>
    <t>.01f+.3e</t>
  </si>
  <si>
    <t>g</t>
  </si>
  <si>
    <t>.05e+.1f</t>
  </si>
  <si>
    <t>.25g+.1f+.2e</t>
  </si>
  <si>
    <t>.25g+.1f</t>
  </si>
  <si>
    <t>.01f+.2g</t>
  </si>
  <si>
    <t>.015f+.3g</t>
  </si>
  <si>
    <t>h</t>
  </si>
  <si>
    <t>.05g</t>
  </si>
  <si>
    <t>.2h+.2f+.2g</t>
  </si>
  <si>
    <t>.02f+.2g</t>
  </si>
  <si>
    <t>.1h</t>
  </si>
  <si>
    <t>.05h</t>
  </si>
  <si>
    <t>.2h</t>
  </si>
  <si>
    <t xml:space="preserve">IM 1 </t>
  </si>
  <si>
    <t>IM 2</t>
  </si>
  <si>
    <t>IM 3</t>
  </si>
  <si>
    <t>IM 4</t>
  </si>
  <si>
    <t>IM 5</t>
  </si>
  <si>
    <r>
      <t xml:space="preserve">Priority Axis 1 </t>
    </r>
    <r>
      <rPr>
        <b/>
        <sz val="12"/>
        <rFont val="Arial"/>
        <family val="2"/>
      </rPr>
      <t>Support to the implementation of the activities, performed by the structures at central level: Central Coordination Unit, Certifying Authority, Audit Authority, OPTA Managing Authority, NSRF Monitoring Committee and OPTA Monitoring Committee; Capacity building measures for SF implementing structures</t>
    </r>
  </si>
  <si>
    <t>Intervention Measure 1.2 Technical Assistance for the Certifying Authority</t>
  </si>
  <si>
    <t>Priority Axis 1 
Intervention measure 1.4 Technical Assistance for the Managing Authority of OPTA</t>
  </si>
  <si>
    <t>Intervention Measure 1.3 Technical Assistance for the Audit Authority</t>
  </si>
  <si>
    <t xml:space="preserve"> Intervention Measure 1.4: Technical Assistance for the Managing Authority </t>
  </si>
  <si>
    <t>2. Intervention measure Advance Payment</t>
  </si>
  <si>
    <t>1. Table 1 IM 1.2 commitment profile - absolute figures</t>
  </si>
  <si>
    <t>1. Table 1 IM 1.1 commitment profile - absolute figures</t>
  </si>
  <si>
    <t>1. Table 1 IM 1.3 commitment profile - absolute figures</t>
  </si>
  <si>
    <t>1. Table 1 IM 1.4 commitment profile - absolute figures</t>
  </si>
  <si>
    <t>Intervention Measure 1.1 Technical Assistance for the Central Coordination Unit</t>
  </si>
  <si>
    <t>Priority Axis 1
Intervention measure 1.3 Technical Assistance for the Audit Authority</t>
  </si>
  <si>
    <t>Priority Axis 1 
Intervention measure 1.2 Technical Assistance for the Certifying Authority</t>
  </si>
  <si>
    <t>Priority Axis 1 
Intervention measure 1.1 Technical Assistance for the Central Coordination Unit</t>
  </si>
  <si>
    <t xml:space="preserve">Intervention measure 1 </t>
  </si>
  <si>
    <t xml:space="preserve">Intervention measure 2 </t>
  </si>
  <si>
    <t xml:space="preserve">Intervention measure 1.3 </t>
  </si>
  <si>
    <t xml:space="preserve">Intervention measure 1.4 </t>
  </si>
  <si>
    <t xml:space="preserve">Annual IM 1.3 Allocation
</t>
  </si>
  <si>
    <t>Annual IM 1.3 distribution coefficient
(Annual Allocation/Total 2007-20013)</t>
  </si>
  <si>
    <t xml:space="preserve">Annual IM 1.2 Allocation
</t>
  </si>
  <si>
    <t xml:space="preserve">Annual IM 1.1 Allocation
</t>
  </si>
  <si>
    <t>Annual IM 1.1 distribution coefficient
(Annual Allocation/Total 2007-20013)</t>
  </si>
  <si>
    <t>2007-2013 PA 1 Commitments</t>
  </si>
  <si>
    <t>2007-2013 IM 1.4 Commitments</t>
  </si>
  <si>
    <t>2007-2013 IM 1.3 Commitments</t>
  </si>
  <si>
    <t>2007-2013 IM 1.2 Commitments</t>
  </si>
  <si>
    <t>2007-2013 IM 1.1 Commitments</t>
  </si>
  <si>
    <t>Baseline for contracting</t>
  </si>
  <si>
    <t>Total EU share of contracted projects</t>
  </si>
  <si>
    <t>Baseline coefficient for contracting</t>
  </si>
  <si>
    <t xml:space="preserve">Total EU financing  </t>
  </si>
  <si>
    <t>Baseline for payments</t>
  </si>
  <si>
    <t>Baseline coefficient for payment</t>
  </si>
  <si>
    <t xml:space="preserve">Total PA 1 EU co-financing </t>
  </si>
  <si>
    <t>Total certified to the EC</t>
  </si>
  <si>
    <t>Baseline for certification</t>
  </si>
  <si>
    <t>Baseline coefficient for certification</t>
  </si>
  <si>
    <t>Total EU share of payments</t>
  </si>
  <si>
    <t xml:space="preserve">Total EU co-financing  </t>
  </si>
  <si>
    <t xml:space="preserve"> IM Distribution Coefficient
(IM Allocation/Total 2007-20013)</t>
  </si>
  <si>
    <t>3. Table 2 Intervention measure 1.3 financial profile - cumulative figures</t>
  </si>
  <si>
    <t>3. Table 2 Intervention measure 1.2 financial profile - cumulative figures</t>
  </si>
  <si>
    <t>3. Table 2 Intervention measure 1.1 financial profile - cumulative figures</t>
  </si>
  <si>
    <t>3. Table 2 Intervention measure 1.4 financial profile - cumulative figures</t>
  </si>
  <si>
    <t>1. Table 1 IM 1.5 commitment profile - absolute figures</t>
  </si>
  <si>
    <t>Priority Axis 1 
Intervention measure 1.5 Capacity building of the loal and regional authorities</t>
  </si>
  <si>
    <t>2007-2013 IM 1.5 Commitments</t>
  </si>
  <si>
    <t>PA I adv. payment</t>
  </si>
  <si>
    <t xml:space="preserve">Intervention measure 1.5 </t>
  </si>
  <si>
    <r>
      <t xml:space="preserve">Priority Axis 1 </t>
    </r>
    <r>
      <rPr>
        <b/>
        <sz val="12"/>
        <rFont val="Arial"/>
        <family val="2"/>
      </rPr>
      <t>Support to the implementation of the activities, performed by the structures at central level: Central Coordination Unit, Certifying Authority, Audit Authority, OPTA Managing Authority, NSRF Monitoring Committee and OPTA Monitoring Committ</t>
    </r>
  </si>
  <si>
    <t>PA II adv. payment</t>
  </si>
  <si>
    <t>1. Table 1 IM 2.1 commitment profile - absolute figures</t>
  </si>
  <si>
    <t>2007-2013 IM 2.1 Commitments</t>
  </si>
  <si>
    <t xml:space="preserve">Priority Axis 3 </t>
  </si>
  <si>
    <t xml:space="preserve"> Intervention Measure 3.1: Supporting public information campaigns of the European Cohesion Policy</t>
  </si>
  <si>
    <t>Priority Axis 3
Intervention measure 3.1 Supporting public information campaigns of the European Cohesion Policy</t>
  </si>
  <si>
    <t>1. Table 1 IM 3.2 commitment profile - absolute figures</t>
  </si>
  <si>
    <t>Priority Axis 3 
I.M 3.2 Ensuring appropriate statistics, data and impact analyses throughout the current as well as the next programming periods</t>
  </si>
  <si>
    <t xml:space="preserve"> Intervention Measure 3.2: Ensuring appropriate statistics, data and impact analyses throughout the current as well as the next programming periods</t>
  </si>
  <si>
    <t>Priority Axis 3 
Functioning of a national network of District Info Points on the Cohesion Policy in Bulgaria</t>
  </si>
  <si>
    <t xml:space="preserve"> Intervention Measure 3.3: Functioning of a national network of District Info Points on the Cohesion Policy in Bulgaria</t>
  </si>
  <si>
    <t xml:space="preserve">Intervention measure 3.1 </t>
  </si>
  <si>
    <t xml:space="preserve">Intervention measure 3.2 </t>
  </si>
  <si>
    <t xml:space="preserve">Intervention measure 3.3 </t>
  </si>
  <si>
    <t>3. Table 2 Intervention measure 3.3 financial profile - cumulative figures</t>
  </si>
  <si>
    <t>3. Table 2 Intervention measure 3.2 financial profile - cumulative figures</t>
  </si>
  <si>
    <t>3. Table 2 Intervention measure 3.1 financial profile - cumulative figures</t>
  </si>
  <si>
    <t>3. Table 2 Priority Axis 3 financial profile - cumulative figures</t>
  </si>
  <si>
    <t>Annual IM 1.5 distribution coefficient
(Annual Allocation/Total 2007-20013)</t>
  </si>
  <si>
    <t xml:space="preserve">Annual IM 1.4 Allocation
</t>
  </si>
  <si>
    <t>Annual IM 1.2 distribution coefficient
(Annual Allocation/Total 2007-20013)</t>
  </si>
  <si>
    <t>1. Table 1 IM 3.3 commitment profile - absolute figures</t>
  </si>
  <si>
    <t>Baseline for 
contracting</t>
  </si>
  <si>
    <t>Baseline  for certification</t>
  </si>
  <si>
    <t xml:space="preserve"> Intervention Measure 1.5: Support for the Local Authorities </t>
  </si>
  <si>
    <t>Baseline for
payments</t>
  </si>
  <si>
    <t>Baseline  for
certification</t>
  </si>
  <si>
    <t>Baseline  for 
certification</t>
  </si>
  <si>
    <t>Developing the UMIS</t>
  </si>
  <si>
    <t>Support for the UMIS functioning</t>
  </si>
  <si>
    <t>Supplying the necessary hardware for UMIS</t>
  </si>
  <si>
    <t>Further support for the UMIS HELP DESK and UMIS user training</t>
  </si>
  <si>
    <t>Establishing the help desk for UMIS and providing continuos training for the UMIS users</t>
  </si>
  <si>
    <t>Тримесечие</t>
  </si>
  <si>
    <t>Ангажименти</t>
  </si>
  <si>
    <t>N+3/2 с аванс</t>
  </si>
  <si>
    <t>N+3/2 без аванс</t>
  </si>
  <si>
    <t>Базова стойност за контрактуване</t>
  </si>
  <si>
    <t>Общ дял на ЕС финансиране към договорените проекти</t>
  </si>
  <si>
    <t>Базов коефициент за контрактуване</t>
  </si>
  <si>
    <t>Базова стойност за плащане</t>
  </si>
  <si>
    <t>Общо платени средства от ЕС</t>
  </si>
  <si>
    <t>Базов коефициент за плащания</t>
  </si>
  <si>
    <t>Базов коефициент за сертифициране</t>
  </si>
  <si>
    <t>Общо сертифицирани към ЕС</t>
  </si>
  <si>
    <t>I. ОП "Техническа помощ"</t>
  </si>
  <si>
    <t>2007-2013 ОП Ангажименти</t>
  </si>
  <si>
    <t>1. Таблица 1 Профил на поетите ангажименти по ОП "Техническа помощ" - в абсолютни стойности</t>
  </si>
  <si>
    <t>Година</t>
  </si>
  <si>
    <t>Годишно разпределение</t>
  </si>
  <si>
    <t xml:space="preserve">2. Общо авансови плащания по ОП </t>
  </si>
  <si>
    <t>3. Таблица 2 Финансов профил на ОП "Техническа помощ" - кумулативни стойности</t>
  </si>
</sst>
</file>

<file path=xl/styles.xml><?xml version="1.0" encoding="utf-8"?>
<styleSheet xmlns="http://schemas.openxmlformats.org/spreadsheetml/2006/main">
  <numFmts count="45">
    <numFmt numFmtId="5" formatCode="#,##0_-\ &quot;лв&quot;;#,##0\-\ &quot;лв&quot;"/>
    <numFmt numFmtId="6" formatCode="#,##0_-\ &quot;лв&quot;;[Red]#,##0\-\ &quot;лв&quot;"/>
    <numFmt numFmtId="7" formatCode="#,##0.00_-\ &quot;лв&quot;;#,##0.00\-\ &quot;лв&quot;"/>
    <numFmt numFmtId="8" formatCode="#,##0.00_-\ &quot;лв&quot;;[Red]#,##0.00\-\ &quot;лв&quot;"/>
    <numFmt numFmtId="42" formatCode="_ * #,##0_-\ &quot;лв&quot;_ ;_ * #,##0\-\ &quot;лв&quot;_ ;_ * &quot;-&quot;_-\ &quot;лв&quot;_ ;_ @_ "/>
    <numFmt numFmtId="41" formatCode="_ * #,##0_-\ _л_в_ ;_ * #,##0\-\ _л_в_ ;_ * &quot;-&quot;_-\ _л_в_ ;_ @_ "/>
    <numFmt numFmtId="44" formatCode="_ * #,##0.00_-\ &quot;лв&quot;_ ;_ * #,##0.00\-\ &quot;лв&quot;_ ;_ * &quot;-&quot;??_-\ &quot;лв&quot;_ ;_ @_ "/>
    <numFmt numFmtId="43" formatCode="_ * #,##0.00_-\ _л_в_ ;_ * #,##0.00\-\ _л_в_ ;_ * &quot;-&quot;??_-\ 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.0"/>
    <numFmt numFmtId="194" formatCode="#,##0.000"/>
    <numFmt numFmtId="195" formatCode="#,##0.0000"/>
    <numFmt numFmtId="196" formatCode="0.0%"/>
    <numFmt numFmtId="197" formatCode="0.000%"/>
    <numFmt numFmtId="198" formatCode="0.0000%"/>
    <numFmt numFmtId="199" formatCode="0.00000%"/>
    <numFmt numFmtId="200" formatCode="0.000000%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21" applyBorder="1" applyAlignment="1">
      <alignment horizontal="left"/>
      <protection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21" applyFont="1" applyFill="1" applyAlignment="1">
      <alignment horizontal="right"/>
      <protection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5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5" fillId="4" borderId="0" xfId="0" applyFont="1" applyFill="1" applyAlignment="1">
      <alignment/>
    </xf>
    <xf numFmtId="4" fontId="0" fillId="4" borderId="8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11" xfId="0" applyFill="1" applyBorder="1" applyAlignment="1">
      <alignment/>
    </xf>
    <xf numFmtId="3" fontId="0" fillId="3" borderId="11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3" xfId="0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1" fillId="3" borderId="11" xfId="0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0" fontId="0" fillId="3" borderId="11" xfId="0" applyFont="1" applyFill="1" applyBorder="1" applyAlignment="1">
      <alignment/>
    </xf>
    <xf numFmtId="3" fontId="0" fillId="3" borderId="9" xfId="0" applyNumberFormat="1" applyFont="1" applyFill="1" applyBorder="1" applyAlignment="1">
      <alignment/>
    </xf>
    <xf numFmtId="4" fontId="0" fillId="3" borderId="4" xfId="0" applyNumberFormat="1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3" borderId="11" xfId="0" applyNumberFormat="1" applyFont="1" applyFill="1" applyBorder="1" applyAlignment="1">
      <alignment/>
    </xf>
    <xf numFmtId="4" fontId="0" fillId="3" borderId="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6" fillId="5" borderId="12" xfId="0" applyFont="1" applyFill="1" applyBorder="1" applyAlignment="1">
      <alignment horizontal="center"/>
    </xf>
    <xf numFmtId="9" fontId="0" fillId="0" borderId="0" xfId="23" applyAlignment="1">
      <alignment/>
    </xf>
    <xf numFmtId="193" fontId="0" fillId="0" borderId="0" xfId="0" applyNumberFormat="1" applyFont="1" applyAlignment="1">
      <alignment/>
    </xf>
    <xf numFmtId="9" fontId="0" fillId="0" borderId="0" xfId="23" applyFill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9" fontId="0" fillId="0" borderId="0" xfId="23" applyFont="1" applyAlignment="1">
      <alignment/>
    </xf>
    <xf numFmtId="9" fontId="0" fillId="0" borderId="0" xfId="23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3" xfId="0" applyFill="1" applyBorder="1" applyAlignment="1">
      <alignment/>
    </xf>
    <xf numFmtId="0" fontId="0" fillId="7" borderId="13" xfId="0" applyFill="1" applyBorder="1" applyAlignment="1">
      <alignment horizontal="center"/>
    </xf>
    <xf numFmtId="3" fontId="0" fillId="7" borderId="13" xfId="0" applyNumberFormat="1" applyFill="1" applyBorder="1" applyAlignment="1">
      <alignment/>
    </xf>
    <xf numFmtId="0" fontId="0" fillId="0" borderId="13" xfId="21" applyFont="1" applyFill="1" applyBorder="1" applyAlignment="1">
      <alignment horizontal="right"/>
      <protection/>
    </xf>
    <xf numFmtId="3" fontId="0" fillId="6" borderId="13" xfId="0" applyNumberFormat="1" applyFill="1" applyBorder="1" applyAlignment="1">
      <alignment/>
    </xf>
    <xf numFmtId="3" fontId="0" fillId="7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9" fontId="0" fillId="0" borderId="0" xfId="23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 wrapText="1"/>
    </xf>
    <xf numFmtId="0" fontId="1" fillId="3" borderId="13" xfId="0" applyFon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4" fontId="1" fillId="3" borderId="13" xfId="0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3" fontId="0" fillId="3" borderId="13" xfId="0" applyNumberFormat="1" applyFont="1" applyFill="1" applyBorder="1" applyAlignment="1">
      <alignment/>
    </xf>
    <xf numFmtId="4" fontId="0" fillId="3" borderId="13" xfId="0" applyNumberFormat="1" applyFont="1" applyFill="1" applyBorder="1" applyAlignment="1">
      <alignment/>
    </xf>
    <xf numFmtId="3" fontId="0" fillId="3" borderId="13" xfId="0" applyNumberFormat="1" applyFill="1" applyBorder="1" applyAlignment="1">
      <alignment/>
    </xf>
    <xf numFmtId="4" fontId="0" fillId="3" borderId="13" xfId="0" applyNumberFormat="1" applyFill="1" applyBorder="1" applyAlignment="1">
      <alignment/>
    </xf>
    <xf numFmtId="3" fontId="0" fillId="3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9" fontId="0" fillId="0" borderId="0" xfId="23" applyFill="1" applyBorder="1" applyAlignment="1">
      <alignment/>
    </xf>
    <xf numFmtId="9" fontId="0" fillId="0" borderId="0" xfId="23" applyAlignment="1">
      <alignment/>
    </xf>
    <xf numFmtId="0" fontId="1" fillId="3" borderId="13" xfId="0" applyFon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4" fontId="1" fillId="3" borderId="13" xfId="0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3" fontId="0" fillId="3" borderId="13" xfId="0" applyNumberFormat="1" applyFont="1" applyFill="1" applyBorder="1" applyAlignment="1">
      <alignment/>
    </xf>
    <xf numFmtId="4" fontId="0" fillId="3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96" fontId="0" fillId="0" borderId="0" xfId="23" applyNumberFormat="1" applyAlignment="1">
      <alignment/>
    </xf>
    <xf numFmtId="4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3" fontId="0" fillId="0" borderId="0" xfId="0" applyNumberFormat="1" applyFill="1" applyBorder="1" applyAlignment="1">
      <alignment horizontal="right"/>
    </xf>
    <xf numFmtId="10" fontId="0" fillId="0" borderId="0" xfId="23" applyNumberFormat="1" applyAlignment="1">
      <alignment/>
    </xf>
    <xf numFmtId="0" fontId="0" fillId="0" borderId="12" xfId="0" applyBorder="1" applyAlignment="1">
      <alignment horizontal="center"/>
    </xf>
    <xf numFmtId="3" fontId="0" fillId="7" borderId="13" xfId="0" applyNumberForma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7" borderId="13" xfId="0" applyNumberFormat="1" applyFill="1" applyBorder="1" applyAlignment="1">
      <alignment horizontal="right"/>
    </xf>
    <xf numFmtId="0" fontId="0" fillId="3" borderId="0" xfId="0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9" xfId="0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5" borderId="15" xfId="0" applyFont="1" applyFill="1" applyBorder="1" applyAlignment="1" quotePrefix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6" fillId="5" borderId="15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 horizontal="center"/>
    </xf>
    <xf numFmtId="0" fontId="5" fillId="5" borderId="9" xfId="0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12" fillId="8" borderId="0" xfId="0" applyFont="1" applyFill="1" applyAlignment="1">
      <alignment horizontal="center" vertical="justify" wrapText="1"/>
    </xf>
    <xf numFmtId="0" fontId="5" fillId="8" borderId="0" xfId="0" applyFont="1" applyFill="1" applyAlignment="1">
      <alignment horizontal="center" vertical="justify" wrapText="1"/>
    </xf>
    <xf numFmtId="0" fontId="11" fillId="5" borderId="15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sten" xfId="21"/>
    <cellStyle name="Normál_stateofplay_hun_05080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chartsheet" Target="chartsheets/sheet3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chartsheet" Target="chartsheets/sheet4.xml" /><Relationship Id="rId24" Type="http://schemas.openxmlformats.org/officeDocument/2006/relationships/worksheet" Target="worksheets/sheet20.xml" /><Relationship Id="rId25" Type="http://schemas.openxmlformats.org/officeDocument/2006/relationships/worksheet" Target="worksheets/sheet21.xml" /><Relationship Id="rId26" Type="http://schemas.openxmlformats.org/officeDocument/2006/relationships/worksheet" Target="worksheets/sheet22.xml" /><Relationship Id="rId27" Type="http://schemas.openxmlformats.org/officeDocument/2006/relationships/worksheet" Target="worksheets/sheet23.xml" /><Relationship Id="rId28" Type="http://schemas.openxmlformats.org/officeDocument/2006/relationships/worksheet" Target="worksheets/sheet24.xml" /><Relationship Id="rId29" Type="http://schemas.openxmlformats.org/officeDocument/2006/relationships/worksheet" Target="worksheets/sheet25.xml" /><Relationship Id="rId30" Type="http://schemas.openxmlformats.org/officeDocument/2006/relationships/worksheet" Target="worksheets/sheet26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ОПТП Общи стойности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725"/>
          <c:w val="0.8302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OP!$B$21</c:f>
              <c:strCache>
                <c:ptCount val="1"/>
                <c:pt idx="0">
                  <c:v>Ангажименти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OP!$A$22:$A$58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OP!$B$22:$B$58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3512400</c:v>
                </c:pt>
                <c:pt idx="5">
                  <c:v>8654100</c:v>
                </c:pt>
                <c:pt idx="6">
                  <c:v>8654100</c:v>
                </c:pt>
                <c:pt idx="7">
                  <c:v>8654100</c:v>
                </c:pt>
                <c:pt idx="8">
                  <c:v>8654100</c:v>
                </c:pt>
                <c:pt idx="9">
                  <c:v>15655119</c:v>
                </c:pt>
                <c:pt idx="10">
                  <c:v>15655119</c:v>
                </c:pt>
                <c:pt idx="11">
                  <c:v>15655119</c:v>
                </c:pt>
                <c:pt idx="12">
                  <c:v>15655119</c:v>
                </c:pt>
                <c:pt idx="13">
                  <c:v>23032375</c:v>
                </c:pt>
                <c:pt idx="14">
                  <c:v>23032375</c:v>
                </c:pt>
                <c:pt idx="15">
                  <c:v>23032375</c:v>
                </c:pt>
                <c:pt idx="16">
                  <c:v>23032375</c:v>
                </c:pt>
                <c:pt idx="17">
                  <c:v>30930440</c:v>
                </c:pt>
                <c:pt idx="18">
                  <c:v>30930440</c:v>
                </c:pt>
                <c:pt idx="19">
                  <c:v>30930440</c:v>
                </c:pt>
                <c:pt idx="20">
                  <c:v>30930440</c:v>
                </c:pt>
                <c:pt idx="21">
                  <c:v>39352220</c:v>
                </c:pt>
                <c:pt idx="22">
                  <c:v>39352220</c:v>
                </c:pt>
                <c:pt idx="23">
                  <c:v>39352220</c:v>
                </c:pt>
                <c:pt idx="24">
                  <c:v>39352220</c:v>
                </c:pt>
                <c:pt idx="25">
                  <c:v>48296513</c:v>
                </c:pt>
                <c:pt idx="26">
                  <c:v>48296513</c:v>
                </c:pt>
                <c:pt idx="27">
                  <c:v>48296513</c:v>
                </c:pt>
                <c:pt idx="28">
                  <c:v>48296513</c:v>
                </c:pt>
                <c:pt idx="29">
                  <c:v>48296513</c:v>
                </c:pt>
                <c:pt idx="30">
                  <c:v>48296513</c:v>
                </c:pt>
                <c:pt idx="31">
                  <c:v>48296513</c:v>
                </c:pt>
                <c:pt idx="32">
                  <c:v>48296513</c:v>
                </c:pt>
                <c:pt idx="33">
                  <c:v>48296513</c:v>
                </c:pt>
                <c:pt idx="34">
                  <c:v>48296513</c:v>
                </c:pt>
                <c:pt idx="35">
                  <c:v>48296513</c:v>
                </c:pt>
                <c:pt idx="36">
                  <c:v>48296513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OP!$D$21</c:f>
              <c:strCache>
                <c:ptCount val="1"/>
                <c:pt idx="0">
                  <c:v>N+3/2 без аванс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OP!$A$22:$A$58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OP!$D$22:$D$58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131644.08999999985</c:v>
                </c:pt>
                <c:pt idx="17">
                  <c:v>131644.08999999985</c:v>
                </c:pt>
                <c:pt idx="18">
                  <c:v>131644.08999999985</c:v>
                </c:pt>
                <c:pt idx="19">
                  <c:v>131644.08999999985</c:v>
                </c:pt>
                <c:pt idx="20">
                  <c:v>5273344.09</c:v>
                </c:pt>
                <c:pt idx="21">
                  <c:v>5273344.09</c:v>
                </c:pt>
                <c:pt idx="22">
                  <c:v>5273344.09</c:v>
                </c:pt>
                <c:pt idx="23">
                  <c:v>5273344.09</c:v>
                </c:pt>
                <c:pt idx="24">
                  <c:v>12274363.09</c:v>
                </c:pt>
                <c:pt idx="25">
                  <c:v>12274363.09</c:v>
                </c:pt>
                <c:pt idx="26">
                  <c:v>12274363.09</c:v>
                </c:pt>
                <c:pt idx="27">
                  <c:v>12274363.09</c:v>
                </c:pt>
                <c:pt idx="28">
                  <c:v>27549684.09</c:v>
                </c:pt>
                <c:pt idx="29">
                  <c:v>27549684.09</c:v>
                </c:pt>
                <c:pt idx="30">
                  <c:v>27549684.09</c:v>
                </c:pt>
                <c:pt idx="31">
                  <c:v>27549684.09</c:v>
                </c:pt>
                <c:pt idx="32">
                  <c:v>35971464.09</c:v>
                </c:pt>
                <c:pt idx="33">
                  <c:v>35971464.09</c:v>
                </c:pt>
                <c:pt idx="34">
                  <c:v>35971464.09</c:v>
                </c:pt>
                <c:pt idx="35">
                  <c:v>35971464.09</c:v>
                </c:pt>
                <c:pt idx="36">
                  <c:v>48296513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OP!$E$21</c:f>
              <c:strCache>
                <c:ptCount val="1"/>
                <c:pt idx="0">
                  <c:v>Базова стойност за контрактуване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OP!$A$22:$A$58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OP!$E$22:$E$58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1337648</c:v>
                </c:pt>
                <c:pt idx="5">
                  <c:v>3058630.8584539555</c:v>
                </c:pt>
                <c:pt idx="6">
                  <c:v>7969829.16101604</c:v>
                </c:pt>
                <c:pt idx="7">
                  <c:v>16429436.28433453</c:v>
                </c:pt>
                <c:pt idx="8">
                  <c:v>17466848.489889205</c:v>
                </c:pt>
                <c:pt idx="9">
                  <c:v>20070021.558821574</c:v>
                </c:pt>
                <c:pt idx="10">
                  <c:v>20070021.558821574</c:v>
                </c:pt>
                <c:pt idx="11">
                  <c:v>20091751.463772416</c:v>
                </c:pt>
                <c:pt idx="12">
                  <c:v>22679342.2798914</c:v>
                </c:pt>
                <c:pt idx="13">
                  <c:v>24165667.77852881</c:v>
                </c:pt>
                <c:pt idx="14">
                  <c:v>25568167.77852881</c:v>
                </c:pt>
                <c:pt idx="15">
                  <c:v>25676817.303283006</c:v>
                </c:pt>
                <c:pt idx="16">
                  <c:v>26346098.375768855</c:v>
                </c:pt>
                <c:pt idx="17">
                  <c:v>34196153.19214502</c:v>
                </c:pt>
                <c:pt idx="18">
                  <c:v>34616006.605151266</c:v>
                </c:pt>
                <c:pt idx="19">
                  <c:v>36043115.93980713</c:v>
                </c:pt>
                <c:pt idx="20">
                  <c:v>38543358.8034507</c:v>
                </c:pt>
                <c:pt idx="21">
                  <c:v>39897628.19291708</c:v>
                </c:pt>
                <c:pt idx="22">
                  <c:v>40310496.38698302</c:v>
                </c:pt>
                <c:pt idx="23">
                  <c:v>41543814.93698302</c:v>
                </c:pt>
                <c:pt idx="24">
                  <c:v>43890644.67167366</c:v>
                </c:pt>
                <c:pt idx="25">
                  <c:v>47904424.34880434</c:v>
                </c:pt>
                <c:pt idx="26">
                  <c:v>49169449.4532357</c:v>
                </c:pt>
                <c:pt idx="27">
                  <c:v>49735158.4532357</c:v>
                </c:pt>
                <c:pt idx="28">
                  <c:v>49735158.4532357</c:v>
                </c:pt>
                <c:pt idx="29">
                  <c:v>49735158.4532357</c:v>
                </c:pt>
                <c:pt idx="30">
                  <c:v>49735158.4532357</c:v>
                </c:pt>
                <c:pt idx="31">
                  <c:v>49735158.4532357</c:v>
                </c:pt>
                <c:pt idx="32">
                  <c:v>49735158.4532357</c:v>
                </c:pt>
                <c:pt idx="33">
                  <c:v>49735158.4532357</c:v>
                </c:pt>
                <c:pt idx="34">
                  <c:v>49735158.4532357</c:v>
                </c:pt>
                <c:pt idx="35">
                  <c:v>49735158.4532357</c:v>
                </c:pt>
                <c:pt idx="36">
                  <c:v>49735158.4532357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OP!$H$21</c:f>
              <c:strCache>
                <c:ptCount val="1"/>
                <c:pt idx="0">
                  <c:v>Базова стойност за плащане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OP!$A$22:$A$58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OP!$H$22:$H$58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217028.6844744431</c:v>
                </c:pt>
                <c:pt idx="8">
                  <c:v>2450790.2445046348</c:v>
                </c:pt>
                <c:pt idx="9">
                  <c:v>5572479.849562079</c:v>
                </c:pt>
                <c:pt idx="10">
                  <c:v>8279318.362170152</c:v>
                </c:pt>
                <c:pt idx="11">
                  <c:v>10448493.781649735</c:v>
                </c:pt>
                <c:pt idx="12">
                  <c:v>12640656.859261924</c:v>
                </c:pt>
                <c:pt idx="13">
                  <c:v>14313778.001654029</c:v>
                </c:pt>
                <c:pt idx="14">
                  <c:v>16282789.84500698</c:v>
                </c:pt>
                <c:pt idx="15">
                  <c:v>18767657.882684078</c:v>
                </c:pt>
                <c:pt idx="16">
                  <c:v>20205878.790334538</c:v>
                </c:pt>
                <c:pt idx="17">
                  <c:v>21889876.036310825</c:v>
                </c:pt>
                <c:pt idx="18">
                  <c:v>24250763.813997947</c:v>
                </c:pt>
                <c:pt idx="19">
                  <c:v>26591460.137272358</c:v>
                </c:pt>
                <c:pt idx="20">
                  <c:v>28348131.573459454</c:v>
                </c:pt>
                <c:pt idx="21">
                  <c:v>29647778.81271243</c:v>
                </c:pt>
                <c:pt idx="22">
                  <c:v>31958520.37857227</c:v>
                </c:pt>
                <c:pt idx="23">
                  <c:v>34184182.04634289</c:v>
                </c:pt>
                <c:pt idx="24">
                  <c:v>35649156.034390986</c:v>
                </c:pt>
                <c:pt idx="25">
                  <c:v>37733343.28620486</c:v>
                </c:pt>
                <c:pt idx="26">
                  <c:v>39154407.54711726</c:v>
                </c:pt>
                <c:pt idx="27">
                  <c:v>40187318.3357294</c:v>
                </c:pt>
                <c:pt idx="28">
                  <c:v>42020887.22144689</c:v>
                </c:pt>
                <c:pt idx="29">
                  <c:v>42842033.2046884</c:v>
                </c:pt>
                <c:pt idx="30">
                  <c:v>44039077.524093874</c:v>
                </c:pt>
                <c:pt idx="31">
                  <c:v>45824746.39749825</c:v>
                </c:pt>
                <c:pt idx="32">
                  <c:v>46764841.45777701</c:v>
                </c:pt>
                <c:pt idx="33">
                  <c:v>47182580.658728525</c:v>
                </c:pt>
                <c:pt idx="34">
                  <c:v>48307918.97761156</c:v>
                </c:pt>
                <c:pt idx="35">
                  <c:v>48307918.97761156</c:v>
                </c:pt>
                <c:pt idx="36">
                  <c:v>48307918.97761156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OP!$K$21</c:f>
              <c:strCache>
                <c:ptCount val="1"/>
                <c:pt idx="0">
                  <c:v>Базов коефициент за сертифициране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OP!$A$22:$A$58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OP!$K$22:$K$58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2450790.2445046348</c:v>
                </c:pt>
                <c:pt idx="11">
                  <c:v>5173926.849562079</c:v>
                </c:pt>
                <c:pt idx="12">
                  <c:v>7880765.362170152</c:v>
                </c:pt>
                <c:pt idx="13">
                  <c:v>10448493.781649735</c:v>
                </c:pt>
                <c:pt idx="14">
                  <c:v>12640656.859261924</c:v>
                </c:pt>
                <c:pt idx="15">
                  <c:v>14313778.001654029</c:v>
                </c:pt>
                <c:pt idx="16">
                  <c:v>16282789.84500698</c:v>
                </c:pt>
                <c:pt idx="17">
                  <c:v>18767657.882684078</c:v>
                </c:pt>
                <c:pt idx="18">
                  <c:v>20205878.790334538</c:v>
                </c:pt>
                <c:pt idx="19">
                  <c:v>21889876.036310825</c:v>
                </c:pt>
                <c:pt idx="20">
                  <c:v>24250763.813997947</c:v>
                </c:pt>
                <c:pt idx="21">
                  <c:v>26414033.430769235</c:v>
                </c:pt>
                <c:pt idx="22">
                  <c:v>28170704.86695633</c:v>
                </c:pt>
                <c:pt idx="23">
                  <c:v>29647778.81271243</c:v>
                </c:pt>
                <c:pt idx="24">
                  <c:v>31958520.37857227</c:v>
                </c:pt>
                <c:pt idx="25">
                  <c:v>34123545.23983976</c:v>
                </c:pt>
                <c:pt idx="26">
                  <c:v>35588519.22788787</c:v>
                </c:pt>
                <c:pt idx="27">
                  <c:v>37733343.28620486</c:v>
                </c:pt>
                <c:pt idx="28">
                  <c:v>39414297.210329294</c:v>
                </c:pt>
                <c:pt idx="29">
                  <c:v>40447207.99894144</c:v>
                </c:pt>
                <c:pt idx="30">
                  <c:v>42358486.094658926</c:v>
                </c:pt>
                <c:pt idx="31">
                  <c:v>43101922.86790043</c:v>
                </c:pt>
                <c:pt idx="32">
                  <c:v>44298967.18730591</c:v>
                </c:pt>
                <c:pt idx="33">
                  <c:v>45824746.39749825</c:v>
                </c:pt>
                <c:pt idx="34">
                  <c:v>46642292.557777</c:v>
                </c:pt>
                <c:pt idx="35">
                  <c:v>47060031.75872853</c:v>
                </c:pt>
                <c:pt idx="36">
                  <c:v>48062821.17761156</c:v>
                </c:pt>
              </c:numCache>
            </c:numRef>
          </c:val>
          <c:smooth val="0"/>
        </c:ser>
        <c:axId val="55075518"/>
        <c:axId val="25917615"/>
      </c:line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7615"/>
        <c:crosses val="autoZero"/>
        <c:auto val="1"/>
        <c:lblOffset val="100"/>
        <c:noMultiLvlLbl val="0"/>
      </c:catAx>
      <c:valAx>
        <c:axId val="25917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75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33525"/>
          <c:w val="0.15225"/>
          <c:h val="0.3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OPTA Priority Axis 1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725"/>
          <c:w val="0.778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'Priority Axis 1'!$B$21</c:f>
              <c:strCache>
                <c:ptCount val="1"/>
                <c:pt idx="0">
                  <c:v>Commitments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1'!$A$22:$A$58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1'!$B$22:$B$58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1818143.6825470193</c:v>
                </c:pt>
                <c:pt idx="5">
                  <c:v>4479671.234235896</c:v>
                </c:pt>
                <c:pt idx="6">
                  <c:v>4479671.234235896</c:v>
                </c:pt>
                <c:pt idx="7">
                  <c:v>4479671.234235896</c:v>
                </c:pt>
                <c:pt idx="8">
                  <c:v>4479671.234235896</c:v>
                </c:pt>
                <c:pt idx="9">
                  <c:v>8103648.704410605</c:v>
                </c:pt>
                <c:pt idx="10">
                  <c:v>8103648.704410605</c:v>
                </c:pt>
                <c:pt idx="11">
                  <c:v>8103648.704410605</c:v>
                </c:pt>
                <c:pt idx="12">
                  <c:v>8103648.704410605</c:v>
                </c:pt>
                <c:pt idx="13">
                  <c:v>11922379.88278781</c:v>
                </c:pt>
                <c:pt idx="14">
                  <c:v>11922379.88278781</c:v>
                </c:pt>
                <c:pt idx="15">
                  <c:v>11922379.88278781</c:v>
                </c:pt>
                <c:pt idx="16">
                  <c:v>11922379.88278781</c:v>
                </c:pt>
                <c:pt idx="17">
                  <c:v>16010700.39984046</c:v>
                </c:pt>
                <c:pt idx="18">
                  <c:v>16010700.39984046</c:v>
                </c:pt>
                <c:pt idx="19">
                  <c:v>16010700.39984046</c:v>
                </c:pt>
                <c:pt idx="20">
                  <c:v>16010700.39984046</c:v>
                </c:pt>
                <c:pt idx="21">
                  <c:v>20370114.50495401</c:v>
                </c:pt>
                <c:pt idx="22">
                  <c:v>20370114.50495401</c:v>
                </c:pt>
                <c:pt idx="23">
                  <c:v>20370114.50495401</c:v>
                </c:pt>
                <c:pt idx="24">
                  <c:v>20370114.50495401</c:v>
                </c:pt>
                <c:pt idx="25">
                  <c:v>25000000</c:v>
                </c:pt>
                <c:pt idx="26">
                  <c:v>25000000</c:v>
                </c:pt>
                <c:pt idx="27">
                  <c:v>25000000</c:v>
                </c:pt>
                <c:pt idx="28">
                  <c:v>25000000</c:v>
                </c:pt>
                <c:pt idx="29">
                  <c:v>25000000</c:v>
                </c:pt>
                <c:pt idx="30">
                  <c:v>25000000</c:v>
                </c:pt>
                <c:pt idx="31">
                  <c:v>25000000</c:v>
                </c:pt>
                <c:pt idx="32">
                  <c:v>25000000</c:v>
                </c:pt>
                <c:pt idx="33">
                  <c:v>25000000</c:v>
                </c:pt>
                <c:pt idx="34">
                  <c:v>25000000</c:v>
                </c:pt>
                <c:pt idx="35">
                  <c:v>25000000</c:v>
                </c:pt>
                <c:pt idx="36">
                  <c:v>25000000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'Priority Axis 1'!$D$21</c:f>
              <c:strCache>
                <c:ptCount val="1"/>
                <c:pt idx="0">
                  <c:v>N+3/2 Adv. Excl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1'!$A$22:$A$58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1'!$D$22:$D$58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912281.1827015335</c:v>
                </c:pt>
                <c:pt idx="17">
                  <c:v>912281.1827015335</c:v>
                </c:pt>
                <c:pt idx="18">
                  <c:v>912281.1827015335</c:v>
                </c:pt>
                <c:pt idx="19">
                  <c:v>912281.1827015335</c:v>
                </c:pt>
                <c:pt idx="20">
                  <c:v>3573808.73439041</c:v>
                </c:pt>
                <c:pt idx="21">
                  <c:v>3573808.73439041</c:v>
                </c:pt>
                <c:pt idx="22">
                  <c:v>3573808.73439041</c:v>
                </c:pt>
                <c:pt idx="23">
                  <c:v>3573808.73439041</c:v>
                </c:pt>
                <c:pt idx="24">
                  <c:v>7197786.204565119</c:v>
                </c:pt>
                <c:pt idx="25">
                  <c:v>7197786.204565119</c:v>
                </c:pt>
                <c:pt idx="26">
                  <c:v>7197786.204565119</c:v>
                </c:pt>
                <c:pt idx="27">
                  <c:v>7197786.204565119</c:v>
                </c:pt>
                <c:pt idx="28">
                  <c:v>15104837.899994973</c:v>
                </c:pt>
                <c:pt idx="29">
                  <c:v>15104837.899994973</c:v>
                </c:pt>
                <c:pt idx="30">
                  <c:v>15104837.899994973</c:v>
                </c:pt>
                <c:pt idx="31">
                  <c:v>15104837.899994973</c:v>
                </c:pt>
                <c:pt idx="32">
                  <c:v>19464252.005108524</c:v>
                </c:pt>
                <c:pt idx="33">
                  <c:v>19464252.005108524</c:v>
                </c:pt>
                <c:pt idx="34">
                  <c:v>19464252.005108524</c:v>
                </c:pt>
                <c:pt idx="35">
                  <c:v>19464252.005108524</c:v>
                </c:pt>
                <c:pt idx="36">
                  <c:v>25000000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'Priority Axis 1'!$E$21</c:f>
              <c:strCache>
                <c:ptCount val="1"/>
                <c:pt idx="0">
                  <c:v>Baseline for 
contracting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1'!$A$22:$A$58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1'!$E$22:$E$58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1337648</c:v>
                </c:pt>
                <c:pt idx="5">
                  <c:v>2264635.7494465266</c:v>
                </c:pt>
                <c:pt idx="6">
                  <c:v>5655610.05200861</c:v>
                </c:pt>
                <c:pt idx="7">
                  <c:v>7478669.545931906</c:v>
                </c:pt>
                <c:pt idx="8">
                  <c:v>8117528.751486581</c:v>
                </c:pt>
                <c:pt idx="9">
                  <c:v>9473474.820418952</c:v>
                </c:pt>
                <c:pt idx="10">
                  <c:v>9473474.820418952</c:v>
                </c:pt>
                <c:pt idx="11">
                  <c:v>9495204.725369792</c:v>
                </c:pt>
                <c:pt idx="12">
                  <c:v>12006311.54148878</c:v>
                </c:pt>
                <c:pt idx="13">
                  <c:v>13492637.040126188</c:v>
                </c:pt>
                <c:pt idx="14">
                  <c:v>13492637.040126188</c:v>
                </c:pt>
                <c:pt idx="15">
                  <c:v>13601286.564880384</c:v>
                </c:pt>
                <c:pt idx="16">
                  <c:v>14270567.637366233</c:v>
                </c:pt>
                <c:pt idx="17">
                  <c:v>16959891.373040088</c:v>
                </c:pt>
                <c:pt idx="18">
                  <c:v>16959891.373040088</c:v>
                </c:pt>
                <c:pt idx="19">
                  <c:v>17112000.70769596</c:v>
                </c:pt>
                <c:pt idx="20">
                  <c:v>19612243.571339533</c:v>
                </c:pt>
                <c:pt idx="21">
                  <c:v>20966512.9608059</c:v>
                </c:pt>
                <c:pt idx="22">
                  <c:v>21379381.154871844</c:v>
                </c:pt>
                <c:pt idx="23">
                  <c:v>21379381.154871844</c:v>
                </c:pt>
                <c:pt idx="24">
                  <c:v>23726210.889562488</c:v>
                </c:pt>
                <c:pt idx="25">
                  <c:v>25173620.816693164</c:v>
                </c:pt>
                <c:pt idx="26">
                  <c:v>26438645.921124533</c:v>
                </c:pt>
                <c:pt idx="27">
                  <c:v>26438645.921124533</c:v>
                </c:pt>
                <c:pt idx="28">
                  <c:v>26438645.921124533</c:v>
                </c:pt>
                <c:pt idx="29">
                  <c:v>26438645.921124533</c:v>
                </c:pt>
                <c:pt idx="30">
                  <c:v>26438645.921124533</c:v>
                </c:pt>
                <c:pt idx="31">
                  <c:v>26438645.921124533</c:v>
                </c:pt>
                <c:pt idx="32">
                  <c:v>26438645.921124533</c:v>
                </c:pt>
                <c:pt idx="33">
                  <c:v>26438645.921124533</c:v>
                </c:pt>
                <c:pt idx="34">
                  <c:v>26438645.921124533</c:v>
                </c:pt>
                <c:pt idx="35">
                  <c:v>26438645.921124533</c:v>
                </c:pt>
                <c:pt idx="36">
                  <c:v>26438645.921124533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'Priority Axis 1'!$H$21</c:f>
              <c:strCache>
                <c:ptCount val="1"/>
                <c:pt idx="0">
                  <c:v>Baseline for payments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1'!$A$22:$A$58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1'!$H$22:$H$58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182002.6344744431</c:v>
                </c:pt>
                <c:pt idx="8">
                  <c:v>1333924.7962790732</c:v>
                </c:pt>
                <c:pt idx="9">
                  <c:v>2912609.9691793257</c:v>
                </c:pt>
                <c:pt idx="10">
                  <c:v>4415124.89935769</c:v>
                </c:pt>
                <c:pt idx="11">
                  <c:v>5468505.324291733</c:v>
                </c:pt>
                <c:pt idx="12">
                  <c:v>6599524.452176441</c:v>
                </c:pt>
                <c:pt idx="13">
                  <c:v>7695110.994841064</c:v>
                </c:pt>
                <c:pt idx="14">
                  <c:v>8782543.438466534</c:v>
                </c:pt>
                <c:pt idx="15">
                  <c:v>9807036.081598094</c:v>
                </c:pt>
                <c:pt idx="16">
                  <c:v>11019585.189248554</c:v>
                </c:pt>
                <c:pt idx="17">
                  <c:v>12147865.83522484</c:v>
                </c:pt>
                <c:pt idx="18">
                  <c:v>13276705.591655511</c:v>
                </c:pt>
                <c:pt idx="19">
                  <c:v>14285845.297468286</c:v>
                </c:pt>
                <c:pt idx="20">
                  <c:v>15173732.13365538</c:v>
                </c:pt>
                <c:pt idx="21">
                  <c:v>15931759.672908358</c:v>
                </c:pt>
                <c:pt idx="22">
                  <c:v>16914648.26859262</c:v>
                </c:pt>
                <c:pt idx="23">
                  <c:v>17961137.080042057</c:v>
                </c:pt>
                <c:pt idx="24">
                  <c:v>18986113.285590157</c:v>
                </c:pt>
                <c:pt idx="25">
                  <c:v>19864472.738763567</c:v>
                </c:pt>
                <c:pt idx="26">
                  <c:v>20641614.29467597</c:v>
                </c:pt>
                <c:pt idx="27">
                  <c:v>21432956.400788106</c:v>
                </c:pt>
                <c:pt idx="28">
                  <c:v>22127448.296900246</c:v>
                </c:pt>
                <c:pt idx="29">
                  <c:v>22768691.52514176</c:v>
                </c:pt>
                <c:pt idx="30">
                  <c:v>23292543.66704724</c:v>
                </c:pt>
                <c:pt idx="31">
                  <c:v>23734908.66538708</c:v>
                </c:pt>
                <c:pt idx="32">
                  <c:v>24071666.32566583</c:v>
                </c:pt>
                <c:pt idx="33">
                  <c:v>24376263.72661735</c:v>
                </c:pt>
                <c:pt idx="34">
                  <c:v>25011407.44550038</c:v>
                </c:pt>
                <c:pt idx="35">
                  <c:v>25011407.44550038</c:v>
                </c:pt>
                <c:pt idx="36">
                  <c:v>25011407.44550038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'Priority Axis 1'!$K$21</c:f>
              <c:strCache>
                <c:ptCount val="1"/>
                <c:pt idx="0">
                  <c:v>Baseline  for certification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1'!$A$22:$A$58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1'!$K$22:$K$58</c:f>
              <c:numCache>
                <c:ptCount val="3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1333924.7962790732</c:v>
                </c:pt>
                <c:pt idx="11">
                  <c:v>2912609.9691793257</c:v>
                </c:pt>
                <c:pt idx="12">
                  <c:v>4415124.89935769</c:v>
                </c:pt>
                <c:pt idx="13">
                  <c:v>5468505.324291733</c:v>
                </c:pt>
                <c:pt idx="14">
                  <c:v>6599524.452176441</c:v>
                </c:pt>
                <c:pt idx="15">
                  <c:v>7695110.994841064</c:v>
                </c:pt>
                <c:pt idx="16">
                  <c:v>8782543.438466534</c:v>
                </c:pt>
                <c:pt idx="17">
                  <c:v>9807036.081598094</c:v>
                </c:pt>
                <c:pt idx="18">
                  <c:v>11019585.189248554</c:v>
                </c:pt>
                <c:pt idx="19">
                  <c:v>12147865.83522484</c:v>
                </c:pt>
                <c:pt idx="20">
                  <c:v>13276705.591655511</c:v>
                </c:pt>
                <c:pt idx="21">
                  <c:v>14285845.297468286</c:v>
                </c:pt>
                <c:pt idx="22">
                  <c:v>15173732.13365538</c:v>
                </c:pt>
                <c:pt idx="23">
                  <c:v>15931759.672908358</c:v>
                </c:pt>
                <c:pt idx="24">
                  <c:v>16914648.26859262</c:v>
                </c:pt>
                <c:pt idx="25">
                  <c:v>17961137.080042057</c:v>
                </c:pt>
                <c:pt idx="26">
                  <c:v>18986113.285590157</c:v>
                </c:pt>
                <c:pt idx="27">
                  <c:v>19864472.738763567</c:v>
                </c:pt>
                <c:pt idx="28">
                  <c:v>20641614.29467597</c:v>
                </c:pt>
                <c:pt idx="29">
                  <c:v>21432956.400788106</c:v>
                </c:pt>
                <c:pt idx="30">
                  <c:v>22205157.506900247</c:v>
                </c:pt>
                <c:pt idx="31">
                  <c:v>22768691.52514176</c:v>
                </c:pt>
                <c:pt idx="32">
                  <c:v>23292543.66704724</c:v>
                </c:pt>
                <c:pt idx="33">
                  <c:v>23734908.66538708</c:v>
                </c:pt>
                <c:pt idx="34">
                  <c:v>24071666.32566583</c:v>
                </c:pt>
                <c:pt idx="35">
                  <c:v>24376263.72661735</c:v>
                </c:pt>
                <c:pt idx="36">
                  <c:v>25011407.44550038</c:v>
                </c:pt>
              </c:numCache>
            </c:numRef>
          </c:val>
          <c:smooth val="0"/>
        </c:ser>
        <c:axId val="31931944"/>
        <c:axId val="18952041"/>
      </c:line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52041"/>
        <c:crosses val="autoZero"/>
        <c:auto val="1"/>
        <c:lblOffset val="100"/>
        <c:noMultiLvlLbl val="0"/>
      </c:catAx>
      <c:valAx>
        <c:axId val="18952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31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"/>
          <c:y val="0.31575"/>
          <c:w val="0.189"/>
          <c:h val="0.55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OPTA Priority Axis 2 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838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'Priority Axis 2'!$B$21</c:f>
              <c:strCache>
                <c:ptCount val="1"/>
                <c:pt idx="0">
                  <c:v>Commitments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2'!$A$22:$A$58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2'!$B$22:$B$58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702480.0363628736</c:v>
                </c:pt>
                <c:pt idx="5">
                  <c:v>1730820.0895934245</c:v>
                </c:pt>
                <c:pt idx="6">
                  <c:v>1730820.0895934245</c:v>
                </c:pt>
                <c:pt idx="7">
                  <c:v>1730820.0895934245</c:v>
                </c:pt>
                <c:pt idx="8">
                  <c:v>1730820.0895934245</c:v>
                </c:pt>
                <c:pt idx="9">
                  <c:v>3131023.962072974</c:v>
                </c:pt>
                <c:pt idx="10">
                  <c:v>3131023.962072974</c:v>
                </c:pt>
                <c:pt idx="11">
                  <c:v>3131023.962072974</c:v>
                </c:pt>
                <c:pt idx="12">
                  <c:v>3131023.962072974</c:v>
                </c:pt>
                <c:pt idx="13">
                  <c:v>4606475.238447597</c:v>
                </c:pt>
                <c:pt idx="14">
                  <c:v>4606475.238447597</c:v>
                </c:pt>
                <c:pt idx="15">
                  <c:v>4606475.238447597</c:v>
                </c:pt>
                <c:pt idx="16">
                  <c:v>4606475.238447597</c:v>
                </c:pt>
                <c:pt idx="17">
                  <c:v>6186088.320214007</c:v>
                </c:pt>
                <c:pt idx="18">
                  <c:v>6186088.320214007</c:v>
                </c:pt>
                <c:pt idx="19">
                  <c:v>6186088.320214007</c:v>
                </c:pt>
                <c:pt idx="20">
                  <c:v>6186088.320214007</c:v>
                </c:pt>
                <c:pt idx="21">
                  <c:v>7870444.407402289</c:v>
                </c:pt>
                <c:pt idx="22">
                  <c:v>7870444.407402289</c:v>
                </c:pt>
                <c:pt idx="23">
                  <c:v>7870444.407402289</c:v>
                </c:pt>
                <c:pt idx="24">
                  <c:v>7870444.407402289</c:v>
                </c:pt>
                <c:pt idx="25">
                  <c:v>9659303.099999998</c:v>
                </c:pt>
                <c:pt idx="26">
                  <c:v>9659303.099999998</c:v>
                </c:pt>
                <c:pt idx="27">
                  <c:v>9659303.099999998</c:v>
                </c:pt>
                <c:pt idx="28">
                  <c:v>9659303.099999998</c:v>
                </c:pt>
                <c:pt idx="29">
                  <c:v>9659303.099999998</c:v>
                </c:pt>
                <c:pt idx="30">
                  <c:v>9659303.099999998</c:v>
                </c:pt>
                <c:pt idx="31">
                  <c:v>9659303.099999998</c:v>
                </c:pt>
                <c:pt idx="32">
                  <c:v>9659303.099999998</c:v>
                </c:pt>
                <c:pt idx="33">
                  <c:v>9659303.099999998</c:v>
                </c:pt>
                <c:pt idx="34">
                  <c:v>9659303.099999998</c:v>
                </c:pt>
                <c:pt idx="35">
                  <c:v>9659303.099999998</c:v>
                </c:pt>
                <c:pt idx="36">
                  <c:v>9659303.099999998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'Priority Axis 2'!$D$21</c:f>
              <c:strCache>
                <c:ptCount val="1"/>
                <c:pt idx="0">
                  <c:v>N+3/2 Adv. Excl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2'!$A$22:$A$58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2'!$D$22:$D$58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26328.826362873544</c:v>
                </c:pt>
                <c:pt idx="17">
                  <c:v>26328.826362873544</c:v>
                </c:pt>
                <c:pt idx="18">
                  <c:v>26328.826362873544</c:v>
                </c:pt>
                <c:pt idx="19">
                  <c:v>26328.826362873544</c:v>
                </c:pt>
                <c:pt idx="20">
                  <c:v>1054668.8795934245</c:v>
                </c:pt>
                <c:pt idx="21">
                  <c:v>1054668.8795934245</c:v>
                </c:pt>
                <c:pt idx="22">
                  <c:v>1054668.8795934245</c:v>
                </c:pt>
                <c:pt idx="23">
                  <c:v>1054668.8795934245</c:v>
                </c:pt>
                <c:pt idx="24">
                  <c:v>2454872.752072974</c:v>
                </c:pt>
                <c:pt idx="25">
                  <c:v>2454872.752072974</c:v>
                </c:pt>
                <c:pt idx="26">
                  <c:v>2454872.752072974</c:v>
                </c:pt>
                <c:pt idx="27">
                  <c:v>2454872.752072974</c:v>
                </c:pt>
                <c:pt idx="28">
                  <c:v>5509937.110214007</c:v>
                </c:pt>
                <c:pt idx="29">
                  <c:v>5509937.110214007</c:v>
                </c:pt>
                <c:pt idx="30">
                  <c:v>5509937.110214007</c:v>
                </c:pt>
                <c:pt idx="31">
                  <c:v>5509937.110214007</c:v>
                </c:pt>
                <c:pt idx="32">
                  <c:v>7194293.197402289</c:v>
                </c:pt>
                <c:pt idx="33">
                  <c:v>7194293.197402289</c:v>
                </c:pt>
                <c:pt idx="34">
                  <c:v>7194293.197402289</c:v>
                </c:pt>
                <c:pt idx="35">
                  <c:v>7194293.197402289</c:v>
                </c:pt>
                <c:pt idx="36">
                  <c:v>9659303.099999998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'Priority Axis 2'!$E$21</c:f>
              <c:strCache>
                <c:ptCount val="1"/>
                <c:pt idx="0">
                  <c:v>Baseline for 
contracting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2'!$A$22:$A$58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2'!$E$22:$E$58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1520224</c:v>
                </c:pt>
                <c:pt idx="7">
                  <c:v>4119120.632120379</c:v>
                </c:pt>
                <c:pt idx="8">
                  <c:v>4517673.632120378</c:v>
                </c:pt>
                <c:pt idx="9">
                  <c:v>4517673.632120378</c:v>
                </c:pt>
                <c:pt idx="10">
                  <c:v>4517673.632120378</c:v>
                </c:pt>
                <c:pt idx="11">
                  <c:v>4517673.632120378</c:v>
                </c:pt>
                <c:pt idx="12">
                  <c:v>4517673.632120378</c:v>
                </c:pt>
                <c:pt idx="13">
                  <c:v>4517673.632120378</c:v>
                </c:pt>
                <c:pt idx="14">
                  <c:v>4517673.632120378</c:v>
                </c:pt>
                <c:pt idx="15">
                  <c:v>4517673.632120378</c:v>
                </c:pt>
                <c:pt idx="16">
                  <c:v>4517673.632120378</c:v>
                </c:pt>
                <c:pt idx="17">
                  <c:v>6853471.632120378</c:v>
                </c:pt>
                <c:pt idx="18">
                  <c:v>7208325.045126621</c:v>
                </c:pt>
                <c:pt idx="19">
                  <c:v>7208325.045126621</c:v>
                </c:pt>
                <c:pt idx="20">
                  <c:v>7208325.045126621</c:v>
                </c:pt>
                <c:pt idx="21">
                  <c:v>7208325.045126621</c:v>
                </c:pt>
                <c:pt idx="22">
                  <c:v>7208325.045126621</c:v>
                </c:pt>
                <c:pt idx="23">
                  <c:v>7208325.045126621</c:v>
                </c:pt>
                <c:pt idx="24">
                  <c:v>7208325.045126621</c:v>
                </c:pt>
                <c:pt idx="25">
                  <c:v>9659303.04512662</c:v>
                </c:pt>
                <c:pt idx="26">
                  <c:v>9659303.04512662</c:v>
                </c:pt>
                <c:pt idx="27">
                  <c:v>9659303.04512662</c:v>
                </c:pt>
                <c:pt idx="28">
                  <c:v>9659303.04512662</c:v>
                </c:pt>
                <c:pt idx="29">
                  <c:v>9659303.04512662</c:v>
                </c:pt>
                <c:pt idx="30">
                  <c:v>9659303.04512662</c:v>
                </c:pt>
                <c:pt idx="31">
                  <c:v>9659303.04512662</c:v>
                </c:pt>
                <c:pt idx="32">
                  <c:v>9659303.04512662</c:v>
                </c:pt>
                <c:pt idx="33">
                  <c:v>9659303.04512662</c:v>
                </c:pt>
                <c:pt idx="34">
                  <c:v>9659303.04512662</c:v>
                </c:pt>
                <c:pt idx="35">
                  <c:v>9659303.04512662</c:v>
                </c:pt>
                <c:pt idx="36">
                  <c:v>9659303.04512662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'Priority Axis 2'!$H$21</c:f>
              <c:strCache>
                <c:ptCount val="1"/>
                <c:pt idx="0">
                  <c:v>Baseline for
payments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2'!$A$22:$A$58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2'!$H$22:$H$58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747812.9264240757</c:v>
                </c:pt>
                <c:pt idx="9">
                  <c:v>1146365.9264240758</c:v>
                </c:pt>
                <c:pt idx="10">
                  <c:v>1298388.3264240758</c:v>
                </c:pt>
                <c:pt idx="11">
                  <c:v>1688222.8212421327</c:v>
                </c:pt>
                <c:pt idx="12">
                  <c:v>1992267.6212421325</c:v>
                </c:pt>
                <c:pt idx="13">
                  <c:v>1992267.6212421325</c:v>
                </c:pt>
                <c:pt idx="14">
                  <c:v>2296312.421242133</c:v>
                </c:pt>
                <c:pt idx="15">
                  <c:v>2914180.5160601893</c:v>
                </c:pt>
                <c:pt idx="16">
                  <c:v>2914180.5160601893</c:v>
                </c:pt>
                <c:pt idx="17">
                  <c:v>3218225.3160601896</c:v>
                </c:pt>
                <c:pt idx="18">
                  <c:v>3685384.9160601897</c:v>
                </c:pt>
                <c:pt idx="19">
                  <c:v>4252646.117381368</c:v>
                </c:pt>
                <c:pt idx="20">
                  <c:v>4719805.717381367</c:v>
                </c:pt>
                <c:pt idx="21">
                  <c:v>5070175.417381368</c:v>
                </c:pt>
                <c:pt idx="22">
                  <c:v>5420545.117381368</c:v>
                </c:pt>
                <c:pt idx="23">
                  <c:v>6221386.118702546</c:v>
                </c:pt>
                <c:pt idx="24">
                  <c:v>6221386.118702546</c:v>
                </c:pt>
                <c:pt idx="25">
                  <c:v>6688545.718702545</c:v>
                </c:pt>
                <c:pt idx="26">
                  <c:v>7178741.318702545</c:v>
                </c:pt>
                <c:pt idx="27">
                  <c:v>7178741.318702545</c:v>
                </c:pt>
                <c:pt idx="28">
                  <c:v>7668936.918702546</c:v>
                </c:pt>
                <c:pt idx="29">
                  <c:v>7668936.918702546</c:v>
                </c:pt>
                <c:pt idx="30">
                  <c:v>8159132.518702545</c:v>
                </c:pt>
                <c:pt idx="31">
                  <c:v>8678911.845126621</c:v>
                </c:pt>
                <c:pt idx="32">
                  <c:v>9169107.445126621</c:v>
                </c:pt>
                <c:pt idx="33">
                  <c:v>9169107.445126621</c:v>
                </c:pt>
                <c:pt idx="34">
                  <c:v>9659303.04512662</c:v>
                </c:pt>
                <c:pt idx="35">
                  <c:v>9659303.04512662</c:v>
                </c:pt>
                <c:pt idx="36">
                  <c:v>9659303.04512662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'Priority Axis 2'!$K$21</c:f>
              <c:strCache>
                <c:ptCount val="1"/>
                <c:pt idx="0">
                  <c:v>Baseline  for 
certification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2'!$A$22:$A$58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2'!$K$22:$K$58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747812.9264240757</c:v>
                </c:pt>
                <c:pt idx="11">
                  <c:v>747812.9264240757</c:v>
                </c:pt>
                <c:pt idx="12">
                  <c:v>899835.3264240758</c:v>
                </c:pt>
                <c:pt idx="13">
                  <c:v>1688222.8212421327</c:v>
                </c:pt>
                <c:pt idx="14">
                  <c:v>1992267.6212421325</c:v>
                </c:pt>
                <c:pt idx="15">
                  <c:v>1992267.6212421325</c:v>
                </c:pt>
                <c:pt idx="16">
                  <c:v>2296312.421242133</c:v>
                </c:pt>
                <c:pt idx="17">
                  <c:v>2914180.5160601893</c:v>
                </c:pt>
                <c:pt idx="18">
                  <c:v>2914180.5160601893</c:v>
                </c:pt>
                <c:pt idx="19">
                  <c:v>3218225.3160601896</c:v>
                </c:pt>
                <c:pt idx="20">
                  <c:v>3685384.9160601897</c:v>
                </c:pt>
                <c:pt idx="21">
                  <c:v>4075219.4108782467</c:v>
                </c:pt>
                <c:pt idx="22">
                  <c:v>4542379.010878246</c:v>
                </c:pt>
                <c:pt idx="23">
                  <c:v>5070175.417381368</c:v>
                </c:pt>
                <c:pt idx="24">
                  <c:v>5420545.117381368</c:v>
                </c:pt>
                <c:pt idx="25">
                  <c:v>6160749.312199425</c:v>
                </c:pt>
                <c:pt idx="26">
                  <c:v>6160749.312199425</c:v>
                </c:pt>
                <c:pt idx="27">
                  <c:v>6688545.718702545</c:v>
                </c:pt>
                <c:pt idx="28">
                  <c:v>7438630.981914583</c:v>
                </c:pt>
                <c:pt idx="29">
                  <c:v>7438630.981914583</c:v>
                </c:pt>
                <c:pt idx="30">
                  <c:v>7928826.581914583</c:v>
                </c:pt>
                <c:pt idx="31">
                  <c:v>7928826.581914583</c:v>
                </c:pt>
                <c:pt idx="32">
                  <c:v>8419022.181914583</c:v>
                </c:pt>
                <c:pt idx="33">
                  <c:v>8678911.845126621</c:v>
                </c:pt>
                <c:pt idx="34">
                  <c:v>9046558.54512662</c:v>
                </c:pt>
                <c:pt idx="35">
                  <c:v>9046558.54512662</c:v>
                </c:pt>
                <c:pt idx="36">
                  <c:v>9414205.24512662</c:v>
                </c:pt>
              </c:numCache>
            </c:numRef>
          </c:val>
          <c:smooth val="0"/>
        </c:ser>
        <c:axId val="36350642"/>
        <c:axId val="58720323"/>
      </c:line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20323"/>
        <c:crosses val="autoZero"/>
        <c:auto val="1"/>
        <c:lblOffset val="100"/>
        <c:noMultiLvlLbl val="0"/>
      </c:catAx>
      <c:valAx>
        <c:axId val="58720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50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14225"/>
          <c:w val="0.14025"/>
          <c:h val="0.66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OPTA Priority Axis 3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725"/>
          <c:w val="0.839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'Priority Axis 3'!$B$21</c:f>
              <c:strCache>
                <c:ptCount val="1"/>
                <c:pt idx="0">
                  <c:v>Commitments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3'!$A$22:$A$58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3'!$B$22:$B$58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991776.2883626815</c:v>
                </c:pt>
                <c:pt idx="5">
                  <c:v>2443608.6940893643</c:v>
                </c:pt>
                <c:pt idx="6">
                  <c:v>2443608.6940893643</c:v>
                </c:pt>
                <c:pt idx="7">
                  <c:v>2443608.6940893643</c:v>
                </c:pt>
                <c:pt idx="8">
                  <c:v>2443608.6940893643</c:v>
                </c:pt>
                <c:pt idx="9">
                  <c:v>4420446.3659310145</c:v>
                </c:pt>
                <c:pt idx="10">
                  <c:v>4420446.3659310145</c:v>
                </c:pt>
                <c:pt idx="11">
                  <c:v>4420446.3659310145</c:v>
                </c:pt>
                <c:pt idx="12">
                  <c:v>4420446.3659310145</c:v>
                </c:pt>
                <c:pt idx="13">
                  <c:v>6503519.92645411</c:v>
                </c:pt>
                <c:pt idx="14">
                  <c:v>6503519.92645411</c:v>
                </c:pt>
                <c:pt idx="15">
                  <c:v>6503519.92645411</c:v>
                </c:pt>
                <c:pt idx="16">
                  <c:v>6503519.92645411</c:v>
                </c:pt>
                <c:pt idx="17">
                  <c:v>8733651.343988333</c:v>
                </c:pt>
                <c:pt idx="18">
                  <c:v>8733651.343988333</c:v>
                </c:pt>
                <c:pt idx="19">
                  <c:v>8733651.343988333</c:v>
                </c:pt>
                <c:pt idx="20">
                  <c:v>8733651.343988333</c:v>
                </c:pt>
                <c:pt idx="21">
                  <c:v>11111661.169124156</c:v>
                </c:pt>
                <c:pt idx="22">
                  <c:v>11111661.169124156</c:v>
                </c:pt>
                <c:pt idx="23">
                  <c:v>11111661.169124156</c:v>
                </c:pt>
                <c:pt idx="24">
                  <c:v>11111661.169124156</c:v>
                </c:pt>
                <c:pt idx="25">
                  <c:v>13637210</c:v>
                </c:pt>
                <c:pt idx="26">
                  <c:v>13637210</c:v>
                </c:pt>
                <c:pt idx="27">
                  <c:v>13637210</c:v>
                </c:pt>
                <c:pt idx="28">
                  <c:v>13637210</c:v>
                </c:pt>
                <c:pt idx="29">
                  <c:v>13637210</c:v>
                </c:pt>
                <c:pt idx="30">
                  <c:v>13637210</c:v>
                </c:pt>
                <c:pt idx="31">
                  <c:v>13637210</c:v>
                </c:pt>
                <c:pt idx="32">
                  <c:v>13637210</c:v>
                </c:pt>
                <c:pt idx="33">
                  <c:v>13637210</c:v>
                </c:pt>
                <c:pt idx="34">
                  <c:v>13637210</c:v>
                </c:pt>
                <c:pt idx="35">
                  <c:v>13637210</c:v>
                </c:pt>
                <c:pt idx="36">
                  <c:v>13637210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'Priority Axis 3'!$D$21</c:f>
              <c:strCache>
                <c:ptCount val="1"/>
                <c:pt idx="0">
                  <c:v>N+3/2 Adv. Excl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3'!$A$22:$A$58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3'!$D$22:$D$58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37171.58836268145</c:v>
                </c:pt>
                <c:pt idx="17">
                  <c:v>37171.58836268145</c:v>
                </c:pt>
                <c:pt idx="18">
                  <c:v>37171.58836268145</c:v>
                </c:pt>
                <c:pt idx="19">
                  <c:v>37171.58836268145</c:v>
                </c:pt>
                <c:pt idx="20">
                  <c:v>1489003.994089364</c:v>
                </c:pt>
                <c:pt idx="21">
                  <c:v>1489003.994089364</c:v>
                </c:pt>
                <c:pt idx="22">
                  <c:v>1489003.994089364</c:v>
                </c:pt>
                <c:pt idx="23">
                  <c:v>1489003.994089364</c:v>
                </c:pt>
                <c:pt idx="24">
                  <c:v>3465841.6659310143</c:v>
                </c:pt>
                <c:pt idx="25">
                  <c:v>3465841.6659310143</c:v>
                </c:pt>
                <c:pt idx="26">
                  <c:v>3465841.6659310143</c:v>
                </c:pt>
                <c:pt idx="27">
                  <c:v>3465841.6659310143</c:v>
                </c:pt>
                <c:pt idx="28">
                  <c:v>7779046.643988333</c:v>
                </c:pt>
                <c:pt idx="29">
                  <c:v>7779046.643988333</c:v>
                </c:pt>
                <c:pt idx="30">
                  <c:v>7779046.643988333</c:v>
                </c:pt>
                <c:pt idx="31">
                  <c:v>7779046.643988333</c:v>
                </c:pt>
                <c:pt idx="32">
                  <c:v>10157056.469124157</c:v>
                </c:pt>
                <c:pt idx="33">
                  <c:v>10157056.469124157</c:v>
                </c:pt>
                <c:pt idx="34">
                  <c:v>10157056.469124157</c:v>
                </c:pt>
                <c:pt idx="35">
                  <c:v>10157056.469124157</c:v>
                </c:pt>
                <c:pt idx="36">
                  <c:v>13637210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'Priority Axis 3'!$E$21</c:f>
              <c:strCache>
                <c:ptCount val="1"/>
                <c:pt idx="0">
                  <c:v>Baseline for 
contracting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3'!$A$22:$A$58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3'!$E$22:$E$58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793995.1090074291</c:v>
                </c:pt>
                <c:pt idx="6">
                  <c:v>793995.1090074291</c:v>
                </c:pt>
                <c:pt idx="7">
                  <c:v>4831646.1062822435</c:v>
                </c:pt>
                <c:pt idx="8">
                  <c:v>4831646.1062822435</c:v>
                </c:pt>
                <c:pt idx="9">
                  <c:v>6078873.1062822435</c:v>
                </c:pt>
                <c:pt idx="10">
                  <c:v>6078873.1062822435</c:v>
                </c:pt>
                <c:pt idx="11">
                  <c:v>6078873.1062822435</c:v>
                </c:pt>
                <c:pt idx="12">
                  <c:v>6155357.1062822435</c:v>
                </c:pt>
                <c:pt idx="13">
                  <c:v>6155357.1062822435</c:v>
                </c:pt>
                <c:pt idx="14">
                  <c:v>7557857.1062822435</c:v>
                </c:pt>
                <c:pt idx="15">
                  <c:v>7557857.1062822435</c:v>
                </c:pt>
                <c:pt idx="16">
                  <c:v>7557857.1062822435</c:v>
                </c:pt>
                <c:pt idx="17">
                  <c:v>10382790.186984554</c:v>
                </c:pt>
                <c:pt idx="18">
                  <c:v>10447790.186984554</c:v>
                </c:pt>
                <c:pt idx="19">
                  <c:v>11722790.186984554</c:v>
                </c:pt>
                <c:pt idx="20">
                  <c:v>11722790.186984554</c:v>
                </c:pt>
                <c:pt idx="21">
                  <c:v>11722790.186984554</c:v>
                </c:pt>
                <c:pt idx="22">
                  <c:v>11722790.186984554</c:v>
                </c:pt>
                <c:pt idx="23">
                  <c:v>12956108.736984555</c:v>
                </c:pt>
                <c:pt idx="24">
                  <c:v>12956108.736984555</c:v>
                </c:pt>
                <c:pt idx="25">
                  <c:v>13071500.486984555</c:v>
                </c:pt>
                <c:pt idx="26">
                  <c:v>13071500.486984555</c:v>
                </c:pt>
                <c:pt idx="27">
                  <c:v>13637209.486984555</c:v>
                </c:pt>
                <c:pt idx="28">
                  <c:v>13637209.486984555</c:v>
                </c:pt>
                <c:pt idx="29">
                  <c:v>13637209.486984555</c:v>
                </c:pt>
                <c:pt idx="30">
                  <c:v>13637209.486984555</c:v>
                </c:pt>
                <c:pt idx="31">
                  <c:v>13637209.486984555</c:v>
                </c:pt>
                <c:pt idx="32">
                  <c:v>13637209.486984555</c:v>
                </c:pt>
                <c:pt idx="33">
                  <c:v>13637209.486984555</c:v>
                </c:pt>
                <c:pt idx="34">
                  <c:v>13637209.486984555</c:v>
                </c:pt>
                <c:pt idx="35">
                  <c:v>13637209.486984555</c:v>
                </c:pt>
                <c:pt idx="36">
                  <c:v>13637209.486984555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'Priority Axis 3'!$H$21</c:f>
              <c:strCache>
                <c:ptCount val="1"/>
                <c:pt idx="0">
                  <c:v>Baseline for
payments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3'!$A$22:$A$58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3'!$H$22:$H$58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35026.05</c:v>
                </c:pt>
                <c:pt idx="8">
                  <c:v>369052.5218014858</c:v>
                </c:pt>
                <c:pt idx="9">
                  <c:v>1513503.9539586774</c:v>
                </c:pt>
                <c:pt idx="10">
                  <c:v>2565805.1363883875</c:v>
                </c:pt>
                <c:pt idx="11">
                  <c:v>3291765.6361158686</c:v>
                </c:pt>
                <c:pt idx="12">
                  <c:v>4048864.78584335</c:v>
                </c:pt>
                <c:pt idx="13">
                  <c:v>4626399.385570832</c:v>
                </c:pt>
                <c:pt idx="14">
                  <c:v>5203933.985298313</c:v>
                </c:pt>
                <c:pt idx="15">
                  <c:v>6046441.285025794</c:v>
                </c:pt>
                <c:pt idx="16">
                  <c:v>6272113.085025795</c:v>
                </c:pt>
                <c:pt idx="17">
                  <c:v>6523784.885025795</c:v>
                </c:pt>
                <c:pt idx="18">
                  <c:v>7288673.306282243</c:v>
                </c:pt>
                <c:pt idx="19">
                  <c:v>8052968.722422705</c:v>
                </c:pt>
                <c:pt idx="20">
                  <c:v>8454593.722422704</c:v>
                </c:pt>
                <c:pt idx="21">
                  <c:v>8645843.722422704</c:v>
                </c:pt>
                <c:pt idx="22">
                  <c:v>9623326.992598282</c:v>
                </c:pt>
                <c:pt idx="23">
                  <c:v>10001658.847598283</c:v>
                </c:pt>
                <c:pt idx="24">
                  <c:v>10441656.630098283</c:v>
                </c:pt>
                <c:pt idx="25">
                  <c:v>11180324.828738745</c:v>
                </c:pt>
                <c:pt idx="26">
                  <c:v>11334051.933738746</c:v>
                </c:pt>
                <c:pt idx="27">
                  <c:v>11575620.616238745</c:v>
                </c:pt>
                <c:pt idx="28">
                  <c:v>12224502.00584409</c:v>
                </c:pt>
                <c:pt idx="29">
                  <c:v>12404404.760844091</c:v>
                </c:pt>
                <c:pt idx="30">
                  <c:v>12587401.338344092</c:v>
                </c:pt>
                <c:pt idx="31">
                  <c:v>13410925.886984553</c:v>
                </c:pt>
                <c:pt idx="32">
                  <c:v>13524067.686984554</c:v>
                </c:pt>
                <c:pt idx="33">
                  <c:v>13637209.486984555</c:v>
                </c:pt>
                <c:pt idx="34">
                  <c:v>13637209.486984555</c:v>
                </c:pt>
                <c:pt idx="35">
                  <c:v>13637209.486984555</c:v>
                </c:pt>
                <c:pt idx="36">
                  <c:v>13637209.486984555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'Priority Axis 3'!$K$21</c:f>
              <c:strCache>
                <c:ptCount val="1"/>
                <c:pt idx="0">
                  <c:v>Baseline  for
certification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3'!$A$22:$A$58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3'!$K$22:$K$58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369052.5218014858</c:v>
                </c:pt>
                <c:pt idx="11">
                  <c:v>1513503.9539586774</c:v>
                </c:pt>
                <c:pt idx="12">
                  <c:v>2565805.1363883875</c:v>
                </c:pt>
                <c:pt idx="13">
                  <c:v>3291765.6361158686</c:v>
                </c:pt>
                <c:pt idx="14">
                  <c:v>4048864.78584335</c:v>
                </c:pt>
                <c:pt idx="15">
                  <c:v>4626399.385570832</c:v>
                </c:pt>
                <c:pt idx="16">
                  <c:v>5203933.985298313</c:v>
                </c:pt>
                <c:pt idx="17">
                  <c:v>6046441.285025794</c:v>
                </c:pt>
                <c:pt idx="18">
                  <c:v>6272113.085025795</c:v>
                </c:pt>
                <c:pt idx="19">
                  <c:v>6523784.885025795</c:v>
                </c:pt>
                <c:pt idx="20">
                  <c:v>7288673.306282243</c:v>
                </c:pt>
                <c:pt idx="21">
                  <c:v>8052968.722422705</c:v>
                </c:pt>
                <c:pt idx="22">
                  <c:v>8454593.722422704</c:v>
                </c:pt>
                <c:pt idx="23">
                  <c:v>8645843.722422704</c:v>
                </c:pt>
                <c:pt idx="24">
                  <c:v>9623326.992598282</c:v>
                </c:pt>
                <c:pt idx="25">
                  <c:v>10001658.847598283</c:v>
                </c:pt>
                <c:pt idx="26">
                  <c:v>10441656.630098283</c:v>
                </c:pt>
                <c:pt idx="27">
                  <c:v>11180324.828738745</c:v>
                </c:pt>
                <c:pt idx="28">
                  <c:v>11334051.933738746</c:v>
                </c:pt>
                <c:pt idx="29">
                  <c:v>11575620.616238745</c:v>
                </c:pt>
                <c:pt idx="30">
                  <c:v>12224502.00584409</c:v>
                </c:pt>
                <c:pt idx="31">
                  <c:v>12404404.760844091</c:v>
                </c:pt>
                <c:pt idx="32">
                  <c:v>12587401.338344092</c:v>
                </c:pt>
                <c:pt idx="33">
                  <c:v>13410925.886984553</c:v>
                </c:pt>
                <c:pt idx="34">
                  <c:v>13524067.686984554</c:v>
                </c:pt>
                <c:pt idx="35">
                  <c:v>13637209.486984555</c:v>
                </c:pt>
                <c:pt idx="36">
                  <c:v>13637209.486984555</c:v>
                </c:pt>
              </c:numCache>
            </c:numRef>
          </c:val>
          <c:smooth val="0"/>
        </c:ser>
        <c:axId val="58720860"/>
        <c:axId val="58725693"/>
      </c:line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2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37025"/>
          <c:w val="0.13425"/>
          <c:h val="0.35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87"/>
  </sheetViews>
  <pageMargins left="0.75" right="0.75" top="1" bottom="1" header="0.5" footer="0.5"/>
  <pageSetup horizontalDpi="600" verticalDpi="600" orientation="landscape" paperSize="9"/>
  <headerFooter>
    <oddHeader>&amp;R&amp;"Arial,Bold"Приложение 22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Chart 1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VVasilev\My%20Documents\OP%20N+3-2%20Tabl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 Chart"/>
      <sheetName val="OP"/>
      <sheetName val="PA2 chart"/>
      <sheetName val="Priority Axis 1"/>
      <sheetName val="Operation 1.3"/>
      <sheetName val="Call AA"/>
      <sheetName val="Operation 1.4"/>
      <sheetName val="Call MA"/>
    </sheetNames>
    <sheetDataSet>
      <sheetData sheetId="5"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9"/>
  <sheetViews>
    <sheetView workbookViewId="0" topLeftCell="A1">
      <selection activeCell="H17" sqref="H17"/>
    </sheetView>
  </sheetViews>
  <sheetFormatPr defaultColWidth="9.140625" defaultRowHeight="12.75"/>
  <cols>
    <col min="1" max="1" width="10.421875" style="0" customWidth="1"/>
    <col min="2" max="2" width="18.421875" style="0" customWidth="1"/>
    <col min="3" max="3" width="13.8515625" style="0" customWidth="1"/>
    <col min="4" max="6" width="15.00390625" style="0" customWidth="1"/>
    <col min="7" max="7" width="12.7109375" style="0" bestFit="1" customWidth="1"/>
    <col min="8" max="9" width="12.7109375" style="0" customWidth="1"/>
    <col min="10" max="12" width="16.8515625" style="0" customWidth="1"/>
    <col min="13" max="13" width="16.140625" style="0" customWidth="1"/>
  </cols>
  <sheetData>
    <row r="2" spans="1:16" ht="20.25">
      <c r="A2" s="134" t="s">
        <v>205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</row>
    <row r="4" ht="15.75">
      <c r="A4" s="133" t="s">
        <v>207</v>
      </c>
    </row>
    <row r="6" spans="1:3" ht="12.75">
      <c r="A6" s="132" t="s">
        <v>206</v>
      </c>
      <c r="B6" s="18"/>
      <c r="C6" s="17"/>
    </row>
    <row r="7" spans="1:3" ht="79.5" customHeight="1">
      <c r="A7" s="1" t="s">
        <v>208</v>
      </c>
      <c r="B7" s="19" t="s">
        <v>209</v>
      </c>
      <c r="C7" s="12"/>
    </row>
    <row r="8" spans="1:3" ht="15" customHeight="1">
      <c r="A8" s="7"/>
      <c r="B8" s="8"/>
      <c r="C8" s="12"/>
    </row>
    <row r="9" spans="1:3" ht="12.75">
      <c r="A9" s="2">
        <v>2007</v>
      </c>
      <c r="B9" s="9">
        <v>3512400</v>
      </c>
      <c r="C9" s="15"/>
    </row>
    <row r="10" spans="1:3" ht="12.75">
      <c r="A10" s="2">
        <v>2008</v>
      </c>
      <c r="B10" s="9">
        <v>5141700</v>
      </c>
      <c r="C10" s="15"/>
    </row>
    <row r="11" spans="1:3" ht="12.75">
      <c r="A11" s="2">
        <v>2009</v>
      </c>
      <c r="B11" s="9">
        <v>7001019</v>
      </c>
      <c r="C11" s="15"/>
    </row>
    <row r="12" spans="1:3" ht="12.75">
      <c r="A12" s="2">
        <v>2010</v>
      </c>
      <c r="B12" s="9">
        <v>7377256</v>
      </c>
      <c r="C12" s="15"/>
    </row>
    <row r="13" spans="1:3" ht="12.75">
      <c r="A13" s="2">
        <v>2011</v>
      </c>
      <c r="B13" s="9">
        <v>7898065</v>
      </c>
      <c r="C13" s="15"/>
    </row>
    <row r="14" spans="1:3" ht="12.75">
      <c r="A14" s="2">
        <v>2012</v>
      </c>
      <c r="B14" s="9">
        <v>8421780</v>
      </c>
      <c r="C14" s="15"/>
    </row>
    <row r="15" spans="1:3" ht="12.75">
      <c r="A15" s="2">
        <v>2013</v>
      </c>
      <c r="B15" s="9">
        <v>8944293</v>
      </c>
      <c r="C15" s="15" t="s">
        <v>59</v>
      </c>
    </row>
    <row r="16" spans="1:3" ht="12.75">
      <c r="A16" s="3" t="s">
        <v>3</v>
      </c>
      <c r="B16" s="10">
        <f>SUM(B9:B15)</f>
        <v>48296513</v>
      </c>
      <c r="C16" s="16"/>
    </row>
    <row r="17" spans="8:9" ht="12.75">
      <c r="H17" s="26"/>
      <c r="I17" s="26"/>
    </row>
    <row r="18" spans="1:10" ht="15.75">
      <c r="A18" s="133" t="s">
        <v>210</v>
      </c>
      <c r="D18" s="11">
        <f>0.07*B16</f>
        <v>3380755.91</v>
      </c>
      <c r="E18" s="121"/>
      <c r="F18" s="121"/>
      <c r="H18" s="14"/>
      <c r="I18" s="14"/>
      <c r="J18" s="6"/>
    </row>
    <row r="19" spans="8:12" ht="12.75">
      <c r="H19" s="6"/>
      <c r="I19" s="6"/>
      <c r="J19" s="6"/>
      <c r="K19" s="6"/>
      <c r="L19" s="6"/>
    </row>
    <row r="20" ht="15.75">
      <c r="A20" s="133" t="s">
        <v>211</v>
      </c>
    </row>
    <row r="21" spans="1:13" ht="63.75">
      <c r="A21" s="77" t="s">
        <v>193</v>
      </c>
      <c r="B21" s="78" t="s">
        <v>194</v>
      </c>
      <c r="C21" s="78" t="s">
        <v>195</v>
      </c>
      <c r="D21" s="78" t="s">
        <v>196</v>
      </c>
      <c r="E21" s="119" t="s">
        <v>197</v>
      </c>
      <c r="F21" s="119" t="s">
        <v>198</v>
      </c>
      <c r="G21" s="119" t="s">
        <v>199</v>
      </c>
      <c r="H21" s="119" t="s">
        <v>200</v>
      </c>
      <c r="I21" s="119" t="s">
        <v>201</v>
      </c>
      <c r="J21" s="119" t="s">
        <v>202</v>
      </c>
      <c r="K21" s="119" t="s">
        <v>203</v>
      </c>
      <c r="L21" s="119" t="s">
        <v>204</v>
      </c>
      <c r="M21" s="119" t="s">
        <v>203</v>
      </c>
    </row>
    <row r="22" spans="1:13" ht="12.75">
      <c r="A22" s="71"/>
      <c r="B22" s="79"/>
      <c r="C22" s="79"/>
      <c r="D22" s="79"/>
      <c r="E22" s="81">
        <v>0</v>
      </c>
      <c r="F22" s="81"/>
      <c r="G22" s="81"/>
      <c r="H22" s="81">
        <v>0</v>
      </c>
      <c r="I22" s="81"/>
      <c r="J22" s="81"/>
      <c r="K22" s="81">
        <v>0</v>
      </c>
      <c r="L22" s="81"/>
      <c r="M22" s="81"/>
    </row>
    <row r="23" spans="1:13" ht="12.75">
      <c r="A23" s="82" t="s">
        <v>8</v>
      </c>
      <c r="B23" s="83">
        <v>0</v>
      </c>
      <c r="C23" s="83">
        <v>0</v>
      </c>
      <c r="D23" s="83">
        <v>0</v>
      </c>
      <c r="E23" s="81">
        <v>0</v>
      </c>
      <c r="F23" s="81"/>
      <c r="G23" s="81">
        <f>'Priority Axis 1'!G23</f>
        <v>0</v>
      </c>
      <c r="H23" s="81">
        <v>0</v>
      </c>
      <c r="I23" s="81"/>
      <c r="J23" s="81">
        <f>'Priority Axis 1'!J23</f>
        <v>0</v>
      </c>
      <c r="K23" s="81">
        <v>0</v>
      </c>
      <c r="L23" s="81"/>
      <c r="M23" s="81">
        <f>'Priority Axis 1'!M23</f>
        <v>0</v>
      </c>
    </row>
    <row r="24" spans="1:13" ht="12.75">
      <c r="A24" s="82" t="s">
        <v>9</v>
      </c>
      <c r="B24" s="83">
        <v>0</v>
      </c>
      <c r="C24" s="83">
        <v>0</v>
      </c>
      <c r="D24" s="83">
        <v>0</v>
      </c>
      <c r="E24" s="81">
        <v>0</v>
      </c>
      <c r="F24" s="81"/>
      <c r="G24" s="81">
        <f>'Priority Axis 1'!G24</f>
        <v>0</v>
      </c>
      <c r="H24" s="81">
        <v>0</v>
      </c>
      <c r="I24" s="81"/>
      <c r="J24" s="81">
        <f>'Priority Axis 1'!J24</f>
        <v>0</v>
      </c>
      <c r="K24" s="81">
        <v>0</v>
      </c>
      <c r="L24" s="81"/>
      <c r="M24" s="81">
        <f>'Priority Axis 1'!M24</f>
        <v>0</v>
      </c>
    </row>
    <row r="25" spans="1:13" ht="12.75">
      <c r="A25" s="82" t="s">
        <v>10</v>
      </c>
      <c r="B25" s="83">
        <v>0</v>
      </c>
      <c r="C25" s="83">
        <v>0</v>
      </c>
      <c r="D25" s="83">
        <v>0</v>
      </c>
      <c r="E25" s="81">
        <v>0</v>
      </c>
      <c r="F25" s="81"/>
      <c r="G25" s="81">
        <f>'Priority Axis 1'!G25</f>
        <v>0</v>
      </c>
      <c r="H25" s="81">
        <v>0</v>
      </c>
      <c r="I25" s="81"/>
      <c r="J25" s="81">
        <f>'Priority Axis 1'!J25</f>
        <v>0</v>
      </c>
      <c r="K25" s="81">
        <v>0</v>
      </c>
      <c r="L25" s="81"/>
      <c r="M25" s="81">
        <f>'Priority Axis 1'!M25</f>
        <v>0</v>
      </c>
    </row>
    <row r="26" spans="1:13" ht="12.75">
      <c r="A26" s="82" t="s">
        <v>11</v>
      </c>
      <c r="B26" s="83">
        <f>B9</f>
        <v>3512400</v>
      </c>
      <c r="C26" s="83">
        <v>0</v>
      </c>
      <c r="D26" s="83">
        <v>0</v>
      </c>
      <c r="E26" s="81">
        <f>'Priority Axis 1'!E26+'Priority Axis 2'!E26+'Priority Axis 3'!E26</f>
        <v>1337648</v>
      </c>
      <c r="F26" s="81"/>
      <c r="G26" s="81">
        <f>'Priority Axis 1'!G26+'Priority Axis 2'!G26+'Priority Axis 3'!G26</f>
        <v>0</v>
      </c>
      <c r="H26" s="81">
        <f>'Priority Axis 1'!H26+'Priority Axis 2'!H26+'Priority Axis 3'!H26</f>
        <v>0</v>
      </c>
      <c r="I26" s="81"/>
      <c r="J26" s="81">
        <f>'Priority Axis 1'!J26+'Priority Axis 2'!J26+'Priority Axis 3'!J26</f>
        <v>0</v>
      </c>
      <c r="K26" s="81">
        <f>'Priority Axis 1'!K26+'Priority Axis 2'!K26+'Priority Axis 3'!K26</f>
        <v>0</v>
      </c>
      <c r="L26" s="81"/>
      <c r="M26" s="81">
        <f>'Priority Axis 1'!M26+'Priority Axis 2'!M26+'Priority Axis 3'!M26</f>
        <v>0</v>
      </c>
    </row>
    <row r="27" spans="1:13" ht="12.75">
      <c r="A27" s="82" t="s">
        <v>12</v>
      </c>
      <c r="B27" s="83">
        <f>$B$26+$B$10</f>
        <v>8654100</v>
      </c>
      <c r="C27" s="83">
        <v>0</v>
      </c>
      <c r="D27" s="83">
        <v>0</v>
      </c>
      <c r="E27" s="81">
        <f>'Priority Axis 1'!E27+'Priority Axis 2'!E27+'Priority Axis 3'!E27</f>
        <v>3058630.8584539555</v>
      </c>
      <c r="F27" s="81"/>
      <c r="G27" s="81">
        <f>'Priority Axis 1'!G27+'Priority Axis 2'!G27+'Priority Axis 3'!G27</f>
        <v>0</v>
      </c>
      <c r="H27" s="81">
        <f>'Priority Axis 1'!H27+'Priority Axis 2'!H27+'Priority Axis 3'!H27</f>
        <v>0</v>
      </c>
      <c r="I27" s="81"/>
      <c r="J27" s="81">
        <f>'Priority Axis 1'!J27+'Priority Axis 2'!J27+'Priority Axis 3'!J27</f>
        <v>0</v>
      </c>
      <c r="K27" s="81">
        <f>'Priority Axis 1'!K27+'Priority Axis 2'!K27+'Priority Axis 3'!K27</f>
        <v>0</v>
      </c>
      <c r="L27" s="81"/>
      <c r="M27" s="81">
        <f>'Priority Axis 1'!M27+'Priority Axis 2'!M27+'Priority Axis 3'!M27</f>
        <v>0</v>
      </c>
    </row>
    <row r="28" spans="1:13" ht="12.75">
      <c r="A28" s="82" t="s">
        <v>13</v>
      </c>
      <c r="B28" s="83">
        <f>$B$26+$B$10</f>
        <v>8654100</v>
      </c>
      <c r="C28" s="83">
        <v>0</v>
      </c>
      <c r="D28" s="83">
        <v>0</v>
      </c>
      <c r="E28" s="81">
        <f>'Priority Axis 1'!E28+'Priority Axis 2'!E28+'Priority Axis 3'!E28</f>
        <v>7969829.16101604</v>
      </c>
      <c r="F28" s="81"/>
      <c r="G28" s="81">
        <f>'Priority Axis 1'!G28+'Priority Axis 2'!G28+'Priority Axis 3'!G28</f>
        <v>0</v>
      </c>
      <c r="H28" s="81">
        <f>'Priority Axis 1'!H28+'Priority Axis 2'!H28+'Priority Axis 3'!H28</f>
        <v>0</v>
      </c>
      <c r="I28" s="81"/>
      <c r="J28" s="81">
        <f>'Priority Axis 1'!J28+'Priority Axis 2'!J28+'Priority Axis 3'!J28</f>
        <v>0</v>
      </c>
      <c r="K28" s="81">
        <f>'Priority Axis 1'!K28+'Priority Axis 2'!K28+'Priority Axis 3'!K28</f>
        <v>0</v>
      </c>
      <c r="L28" s="81"/>
      <c r="M28" s="81">
        <f>'Priority Axis 1'!M28+'Priority Axis 2'!M28+'Priority Axis 3'!M28</f>
        <v>0</v>
      </c>
    </row>
    <row r="29" spans="1:13" ht="12.75">
      <c r="A29" s="82" t="s">
        <v>14</v>
      </c>
      <c r="B29" s="83">
        <f>$B$26+$B$10</f>
        <v>8654100</v>
      </c>
      <c r="C29" s="83">
        <v>0</v>
      </c>
      <c r="D29" s="83">
        <v>0</v>
      </c>
      <c r="E29" s="81">
        <f>'Priority Axis 1'!E29+'Priority Axis 2'!E29+'Priority Axis 3'!E29</f>
        <v>16429436.28433453</v>
      </c>
      <c r="F29" s="81"/>
      <c r="G29" s="81">
        <f>'Priority Axis 1'!G29+'Priority Axis 2'!G29+'Priority Axis 3'!G29</f>
        <v>0</v>
      </c>
      <c r="H29" s="81">
        <f>'Priority Axis 1'!H29+'Priority Axis 2'!H29+'Priority Axis 3'!H29</f>
        <v>217028.6844744431</v>
      </c>
      <c r="I29" s="81"/>
      <c r="J29" s="81">
        <f>'Priority Axis 1'!J29+'Priority Axis 2'!J29+'Priority Axis 3'!J29</f>
        <v>0</v>
      </c>
      <c r="K29" s="81">
        <f>'Priority Axis 1'!K29+'Priority Axis 2'!K29+'Priority Axis 3'!K29</f>
        <v>0</v>
      </c>
      <c r="L29" s="81"/>
      <c r="M29" s="81">
        <f>'Priority Axis 1'!M29+'Priority Axis 2'!M29+'Priority Axis 3'!M29</f>
        <v>0</v>
      </c>
    </row>
    <row r="30" spans="1:13" ht="12.75">
      <c r="A30" s="82" t="s">
        <v>15</v>
      </c>
      <c r="B30" s="83">
        <f>$B$26+$B$10</f>
        <v>8654100</v>
      </c>
      <c r="C30" s="83">
        <v>0</v>
      </c>
      <c r="D30" s="83">
        <v>0</v>
      </c>
      <c r="E30" s="81">
        <f>'Priority Axis 1'!E30+'Priority Axis 2'!E30+'Priority Axis 3'!E30</f>
        <v>17466848.489889205</v>
      </c>
      <c r="F30" s="81"/>
      <c r="G30" s="81">
        <f>'Priority Axis 1'!G30+'Priority Axis 2'!G30+'Priority Axis 3'!G30</f>
        <v>0</v>
      </c>
      <c r="H30" s="81">
        <f>'Priority Axis 1'!H30+'Priority Axis 2'!H30+'Priority Axis 3'!H30</f>
        <v>2450790.2445046348</v>
      </c>
      <c r="I30" s="81"/>
      <c r="J30" s="81">
        <f>'Priority Axis 1'!J30+'Priority Axis 2'!J30+'Priority Axis 3'!J30</f>
        <v>0</v>
      </c>
      <c r="K30" s="81">
        <f>'Priority Axis 1'!K30+'Priority Axis 2'!K30+'Priority Axis 3'!K30</f>
        <v>0</v>
      </c>
      <c r="L30" s="81"/>
      <c r="M30" s="81">
        <f>'Priority Axis 1'!M30+'Priority Axis 2'!M30+'Priority Axis 3'!M30</f>
        <v>0</v>
      </c>
    </row>
    <row r="31" spans="1:13" ht="12.75">
      <c r="A31" s="82" t="s">
        <v>16</v>
      </c>
      <c r="B31" s="83">
        <f>$B$30+$B$11</f>
        <v>15655119</v>
      </c>
      <c r="C31" s="83">
        <v>0</v>
      </c>
      <c r="D31" s="83">
        <v>0</v>
      </c>
      <c r="E31" s="81">
        <f>'Priority Axis 1'!E31+'Priority Axis 2'!E31+'Priority Axis 3'!E31</f>
        <v>20070021.558821574</v>
      </c>
      <c r="F31" s="81"/>
      <c r="G31" s="81">
        <f>'Priority Axis 1'!G31+'Priority Axis 2'!G31+'Priority Axis 3'!G31</f>
        <v>0</v>
      </c>
      <c r="H31" s="81">
        <f>'Priority Axis 1'!H31+'Priority Axis 2'!H31+'Priority Axis 3'!H31</f>
        <v>5572479.849562079</v>
      </c>
      <c r="I31" s="81"/>
      <c r="J31" s="81">
        <f>'Priority Axis 1'!J31+'Priority Axis 2'!J31+'Priority Axis 3'!J31</f>
        <v>0</v>
      </c>
      <c r="K31" s="81">
        <f>'Priority Axis 1'!K31+'Priority Axis 2'!K31+'Priority Axis 3'!K31</f>
        <v>0</v>
      </c>
      <c r="L31" s="81"/>
      <c r="M31" s="81">
        <f>'Priority Axis 1'!M31+'Priority Axis 2'!M31+'Priority Axis 3'!M31</f>
        <v>0</v>
      </c>
    </row>
    <row r="32" spans="1:13" ht="12.75">
      <c r="A32" s="82" t="s">
        <v>17</v>
      </c>
      <c r="B32" s="83">
        <f>$B$30+$B$11</f>
        <v>15655119</v>
      </c>
      <c r="C32" s="83">
        <v>0</v>
      </c>
      <c r="D32" s="83">
        <v>0</v>
      </c>
      <c r="E32" s="81">
        <f>'Priority Axis 1'!E32+'Priority Axis 2'!E32+'Priority Axis 3'!E32</f>
        <v>20070021.558821574</v>
      </c>
      <c r="F32" s="81"/>
      <c r="G32" s="81">
        <f>'Priority Axis 1'!G32+'Priority Axis 2'!G32+'Priority Axis 3'!G32</f>
        <v>0</v>
      </c>
      <c r="H32" s="81">
        <f>'Priority Axis 1'!H32+'Priority Axis 2'!H32+'Priority Axis 3'!H32</f>
        <v>8279318.362170152</v>
      </c>
      <c r="I32" s="81"/>
      <c r="J32" s="81">
        <f>'Priority Axis 1'!J32+'Priority Axis 2'!J32+'Priority Axis 3'!J32</f>
        <v>0</v>
      </c>
      <c r="K32" s="81">
        <f>'Priority Axis 1'!K32+'Priority Axis 2'!K32+'Priority Axis 3'!K32</f>
        <v>2450790.2445046348</v>
      </c>
      <c r="L32" s="81"/>
      <c r="M32" s="81">
        <f>'Priority Axis 1'!M32+'Priority Axis 2'!M32+'Priority Axis 3'!M32</f>
        <v>0</v>
      </c>
    </row>
    <row r="33" spans="1:13" ht="12.75">
      <c r="A33" s="82" t="s">
        <v>18</v>
      </c>
      <c r="B33" s="83">
        <f>$B$30+$B$11</f>
        <v>15655119</v>
      </c>
      <c r="C33" s="83">
        <v>0</v>
      </c>
      <c r="D33" s="83">
        <v>0</v>
      </c>
      <c r="E33" s="81">
        <f>'Priority Axis 1'!E33+'Priority Axis 2'!E33+'Priority Axis 3'!E33</f>
        <v>20091751.463772416</v>
      </c>
      <c r="F33" s="81"/>
      <c r="G33" s="81">
        <f>'Priority Axis 1'!G33+'Priority Axis 2'!G33+'Priority Axis 3'!G33</f>
        <v>0</v>
      </c>
      <c r="H33" s="81">
        <f>'Priority Axis 1'!H33+'Priority Axis 2'!H33+'Priority Axis 3'!H33</f>
        <v>10448493.781649735</v>
      </c>
      <c r="I33" s="81"/>
      <c r="J33" s="81">
        <f>'Priority Axis 1'!J33+'Priority Axis 2'!J33+'Priority Axis 3'!J33</f>
        <v>0</v>
      </c>
      <c r="K33" s="81">
        <f>'Priority Axis 1'!K33+'Priority Axis 2'!K33+'Priority Axis 3'!K33</f>
        <v>5173926.849562079</v>
      </c>
      <c r="L33" s="81"/>
      <c r="M33" s="81">
        <f>'Priority Axis 1'!M33+'Priority Axis 2'!M33+'Priority Axis 3'!M33</f>
        <v>0</v>
      </c>
    </row>
    <row r="34" spans="1:13" ht="12.75">
      <c r="A34" s="82" t="s">
        <v>19</v>
      </c>
      <c r="B34" s="83">
        <f>$B$30+$B$11</f>
        <v>15655119</v>
      </c>
      <c r="C34" s="83">
        <v>0</v>
      </c>
      <c r="D34" s="83">
        <v>0</v>
      </c>
      <c r="E34" s="81">
        <f>'Priority Axis 1'!E34+'Priority Axis 2'!E34+'Priority Axis 3'!E34</f>
        <v>22679342.2798914</v>
      </c>
      <c r="F34" s="81"/>
      <c r="G34" s="81">
        <f>'Priority Axis 1'!G34+'Priority Axis 2'!G34+'Priority Axis 3'!G34</f>
        <v>0</v>
      </c>
      <c r="H34" s="81">
        <f>'Priority Axis 1'!H34+'Priority Axis 2'!H34+'Priority Axis 3'!H34</f>
        <v>12640656.859261924</v>
      </c>
      <c r="I34" s="81"/>
      <c r="J34" s="81">
        <f>'Priority Axis 1'!J34+'Priority Axis 2'!J34+'Priority Axis 3'!J34</f>
        <v>0</v>
      </c>
      <c r="K34" s="81">
        <f>'Priority Axis 1'!K34+'Priority Axis 2'!K34+'Priority Axis 3'!K34</f>
        <v>7880765.362170152</v>
      </c>
      <c r="L34" s="81"/>
      <c r="M34" s="81">
        <f>'Priority Axis 1'!M34+'Priority Axis 2'!M34+'Priority Axis 3'!M34</f>
        <v>0</v>
      </c>
    </row>
    <row r="35" spans="1:13" ht="12.75">
      <c r="A35" s="82" t="s">
        <v>20</v>
      </c>
      <c r="B35" s="83">
        <f>$B$34+$B$12</f>
        <v>23032375</v>
      </c>
      <c r="C35" s="83">
        <v>0</v>
      </c>
      <c r="D35" s="83">
        <v>0</v>
      </c>
      <c r="E35" s="81">
        <f>'Priority Axis 1'!E35+'Priority Axis 2'!E35+'Priority Axis 3'!E35</f>
        <v>24165667.77852881</v>
      </c>
      <c r="F35" s="81"/>
      <c r="G35" s="81">
        <f>'Priority Axis 1'!G35+'Priority Axis 2'!G35+'Priority Axis 3'!G35</f>
        <v>0</v>
      </c>
      <c r="H35" s="81">
        <f>'Priority Axis 1'!H35+'Priority Axis 2'!H35+'Priority Axis 3'!H35</f>
        <v>14313778.001654029</v>
      </c>
      <c r="I35" s="81"/>
      <c r="J35" s="81">
        <f>'Priority Axis 1'!J35+'Priority Axis 2'!J35+'Priority Axis 3'!J35</f>
        <v>0</v>
      </c>
      <c r="K35" s="81">
        <f>'Priority Axis 1'!K35+'Priority Axis 2'!K35+'Priority Axis 3'!K35</f>
        <v>10448493.781649735</v>
      </c>
      <c r="L35" s="81"/>
      <c r="M35" s="81">
        <f>'Priority Axis 1'!M35+'Priority Axis 2'!M35+'Priority Axis 3'!M35</f>
        <v>0</v>
      </c>
    </row>
    <row r="36" spans="1:13" ht="12.75">
      <c r="A36" s="82" t="s">
        <v>21</v>
      </c>
      <c r="B36" s="83">
        <f>$B$34+$B$12</f>
        <v>23032375</v>
      </c>
      <c r="C36" s="83">
        <v>0</v>
      </c>
      <c r="D36" s="83">
        <v>0</v>
      </c>
      <c r="E36" s="81">
        <f>'Priority Axis 1'!E36+'Priority Axis 2'!E36+'Priority Axis 3'!E36</f>
        <v>25568167.77852881</v>
      </c>
      <c r="F36" s="81"/>
      <c r="G36" s="81">
        <f>'Priority Axis 1'!G36+'Priority Axis 2'!G36+'Priority Axis 3'!G36</f>
        <v>0</v>
      </c>
      <c r="H36" s="81">
        <f>'Priority Axis 1'!H36+'Priority Axis 2'!H36+'Priority Axis 3'!H36</f>
        <v>16282789.84500698</v>
      </c>
      <c r="I36" s="81"/>
      <c r="J36" s="81">
        <f>'Priority Axis 1'!J36+'Priority Axis 2'!J36+'Priority Axis 3'!J36</f>
        <v>0</v>
      </c>
      <c r="K36" s="81">
        <f>'Priority Axis 1'!K36+'Priority Axis 2'!K36+'Priority Axis 3'!K36</f>
        <v>12640656.859261924</v>
      </c>
      <c r="L36" s="81"/>
      <c r="M36" s="81">
        <f>'Priority Axis 1'!M36+'Priority Axis 2'!M36+'Priority Axis 3'!M36</f>
        <v>0</v>
      </c>
    </row>
    <row r="37" spans="1:13" ht="12.75">
      <c r="A37" s="82" t="s">
        <v>22</v>
      </c>
      <c r="B37" s="83">
        <f>$B$34+$B$12</f>
        <v>23032375</v>
      </c>
      <c r="C37" s="83">
        <v>0</v>
      </c>
      <c r="D37" s="83">
        <v>0</v>
      </c>
      <c r="E37" s="81">
        <f>'Priority Axis 1'!E37+'Priority Axis 2'!E37+'Priority Axis 3'!E37</f>
        <v>25676817.303283006</v>
      </c>
      <c r="F37" s="81"/>
      <c r="G37" s="81">
        <f>'Priority Axis 1'!G37+'Priority Axis 2'!G37+'Priority Axis 3'!G37</f>
        <v>0</v>
      </c>
      <c r="H37" s="81">
        <f>'Priority Axis 1'!H37+'Priority Axis 2'!H37+'Priority Axis 3'!H37</f>
        <v>18767657.882684078</v>
      </c>
      <c r="I37" s="81"/>
      <c r="J37" s="81">
        <f>'Priority Axis 1'!J37+'Priority Axis 2'!J37+'Priority Axis 3'!J37</f>
        <v>0</v>
      </c>
      <c r="K37" s="81">
        <f>'Priority Axis 1'!K37+'Priority Axis 2'!K37+'Priority Axis 3'!K37</f>
        <v>14313778.001654029</v>
      </c>
      <c r="L37" s="81"/>
      <c r="M37" s="81">
        <f>'Priority Axis 1'!M37+'Priority Axis 2'!M37+'Priority Axis 3'!M37</f>
        <v>0</v>
      </c>
    </row>
    <row r="38" spans="1:13" ht="12.75">
      <c r="A38" s="82" t="s">
        <v>23</v>
      </c>
      <c r="B38" s="83">
        <f>$B$34+$B$12</f>
        <v>23032375</v>
      </c>
      <c r="C38" s="83">
        <f>$B$26</f>
        <v>3512400</v>
      </c>
      <c r="D38" s="83">
        <f>C38-$D$18</f>
        <v>131644.08999999985</v>
      </c>
      <c r="E38" s="81">
        <f>'Priority Axis 1'!E38+'Priority Axis 2'!E38+'Priority Axis 3'!E38</f>
        <v>26346098.375768855</v>
      </c>
      <c r="F38" s="81"/>
      <c r="G38" s="81">
        <f>'Priority Axis 1'!G38+'Priority Axis 2'!G38+'Priority Axis 3'!G38</f>
        <v>0</v>
      </c>
      <c r="H38" s="81">
        <f>'Priority Axis 1'!H38+'Priority Axis 2'!H38+'Priority Axis 3'!H38</f>
        <v>20205878.790334538</v>
      </c>
      <c r="I38" s="81"/>
      <c r="J38" s="81">
        <f>'Priority Axis 1'!J38+'Priority Axis 2'!J38+'Priority Axis 3'!J38</f>
        <v>0</v>
      </c>
      <c r="K38" s="81">
        <f>'Priority Axis 1'!K38+'Priority Axis 2'!K38+'Priority Axis 3'!K38</f>
        <v>16282789.84500698</v>
      </c>
      <c r="L38" s="81"/>
      <c r="M38" s="81">
        <f>'Priority Axis 1'!M38+'Priority Axis 2'!M38+'Priority Axis 3'!M38</f>
        <v>0</v>
      </c>
    </row>
    <row r="39" spans="1:13" ht="12.75">
      <c r="A39" s="82" t="s">
        <v>24</v>
      </c>
      <c r="B39" s="83">
        <f>$B$38+$B$13</f>
        <v>30930440</v>
      </c>
      <c r="C39" s="83">
        <f>$B$26</f>
        <v>3512400</v>
      </c>
      <c r="D39" s="83">
        <f aca="true" t="shared" si="0" ref="D39:D57">C39-$D$18</f>
        <v>131644.08999999985</v>
      </c>
      <c r="E39" s="81">
        <f>'Priority Axis 1'!E39+'Priority Axis 2'!E39+'Priority Axis 3'!E39</f>
        <v>34196153.19214502</v>
      </c>
      <c r="F39" s="81"/>
      <c r="G39" s="81">
        <f>'Priority Axis 1'!G39+'Priority Axis 2'!G39+'Priority Axis 3'!G39</f>
        <v>0</v>
      </c>
      <c r="H39" s="81">
        <f>'Priority Axis 1'!H39+'Priority Axis 2'!H39+'Priority Axis 3'!H39</f>
        <v>21889876.036310825</v>
      </c>
      <c r="I39" s="81"/>
      <c r="J39" s="81">
        <f>'Priority Axis 1'!J39+'Priority Axis 2'!J39+'Priority Axis 3'!J39</f>
        <v>0</v>
      </c>
      <c r="K39" s="81">
        <f>'Priority Axis 1'!K39+'Priority Axis 2'!K39+'Priority Axis 3'!K39</f>
        <v>18767657.882684078</v>
      </c>
      <c r="L39" s="81"/>
      <c r="M39" s="81">
        <f>'Priority Axis 1'!M39+'Priority Axis 2'!M39+'Priority Axis 3'!M39</f>
        <v>0</v>
      </c>
    </row>
    <row r="40" spans="1:13" ht="12.75">
      <c r="A40" s="82" t="s">
        <v>25</v>
      </c>
      <c r="B40" s="83">
        <f>$B$38+$B$13</f>
        <v>30930440</v>
      </c>
      <c r="C40" s="83">
        <f>$B$26</f>
        <v>3512400</v>
      </c>
      <c r="D40" s="83">
        <f t="shared" si="0"/>
        <v>131644.08999999985</v>
      </c>
      <c r="E40" s="81">
        <f>'Priority Axis 1'!E40+'Priority Axis 2'!E40+'Priority Axis 3'!E40</f>
        <v>34616006.605151266</v>
      </c>
      <c r="F40" s="81"/>
      <c r="G40" s="81">
        <f>'Priority Axis 1'!G40+'Priority Axis 2'!G40+'Priority Axis 3'!G40</f>
        <v>0</v>
      </c>
      <c r="H40" s="81">
        <f>'Priority Axis 1'!H40+'Priority Axis 2'!H40+'Priority Axis 3'!H40</f>
        <v>24250763.813997947</v>
      </c>
      <c r="I40" s="81"/>
      <c r="J40" s="81">
        <f>'Priority Axis 1'!J40+'Priority Axis 2'!J40+'Priority Axis 3'!J40</f>
        <v>0</v>
      </c>
      <c r="K40" s="81">
        <f>'Priority Axis 1'!K40+'Priority Axis 2'!K40+'Priority Axis 3'!K40</f>
        <v>20205878.790334538</v>
      </c>
      <c r="L40" s="81"/>
      <c r="M40" s="81">
        <f>'Priority Axis 1'!M40+'Priority Axis 2'!M40+'Priority Axis 3'!M40</f>
        <v>0</v>
      </c>
    </row>
    <row r="41" spans="1:13" ht="12.75">
      <c r="A41" s="82" t="s">
        <v>26</v>
      </c>
      <c r="B41" s="83">
        <f>$B$38+$B$13</f>
        <v>30930440</v>
      </c>
      <c r="C41" s="83">
        <f>$B$26</f>
        <v>3512400</v>
      </c>
      <c r="D41" s="83">
        <f t="shared" si="0"/>
        <v>131644.08999999985</v>
      </c>
      <c r="E41" s="81">
        <f>'Priority Axis 1'!E41+'Priority Axis 2'!E41+'Priority Axis 3'!E41</f>
        <v>36043115.93980713</v>
      </c>
      <c r="F41" s="81"/>
      <c r="G41" s="81">
        <f>'Priority Axis 1'!G41+'Priority Axis 2'!G41+'Priority Axis 3'!G41</f>
        <v>0</v>
      </c>
      <c r="H41" s="81">
        <f>'Priority Axis 1'!H41+'Priority Axis 2'!H41+'Priority Axis 3'!H41</f>
        <v>26591460.137272358</v>
      </c>
      <c r="I41" s="81"/>
      <c r="J41" s="81">
        <f>'Priority Axis 1'!J41+'Priority Axis 2'!J41+'Priority Axis 3'!J41</f>
        <v>0</v>
      </c>
      <c r="K41" s="81">
        <f>'Priority Axis 1'!K41+'Priority Axis 2'!K41+'Priority Axis 3'!K41</f>
        <v>21889876.036310825</v>
      </c>
      <c r="L41" s="81"/>
      <c r="M41" s="81">
        <f>'Priority Axis 1'!M41+'Priority Axis 2'!M41+'Priority Axis 3'!M41</f>
        <v>0</v>
      </c>
    </row>
    <row r="42" spans="1:13" ht="12.75">
      <c r="A42" s="82" t="s">
        <v>27</v>
      </c>
      <c r="B42" s="83">
        <f>$B$38+$B$13</f>
        <v>30930440</v>
      </c>
      <c r="C42" s="83">
        <f>$B$27</f>
        <v>8654100</v>
      </c>
      <c r="D42" s="83">
        <f t="shared" si="0"/>
        <v>5273344.09</v>
      </c>
      <c r="E42" s="81">
        <f>'Priority Axis 1'!E42+'Priority Axis 2'!E42+'Priority Axis 3'!E42</f>
        <v>38543358.8034507</v>
      </c>
      <c r="F42" s="81"/>
      <c r="G42" s="81">
        <f>'Priority Axis 1'!G42+'Priority Axis 2'!G42+'Priority Axis 3'!G42</f>
        <v>0</v>
      </c>
      <c r="H42" s="81">
        <f>'Priority Axis 1'!H42+'Priority Axis 2'!H42+'Priority Axis 3'!H42</f>
        <v>28348131.573459454</v>
      </c>
      <c r="I42" s="81"/>
      <c r="J42" s="81">
        <f>'Priority Axis 1'!J42+'Priority Axis 2'!J42+'Priority Axis 3'!J42</f>
        <v>0</v>
      </c>
      <c r="K42" s="81">
        <f>'Priority Axis 1'!K42+'Priority Axis 2'!K42+'Priority Axis 3'!K42</f>
        <v>24250763.813997947</v>
      </c>
      <c r="L42" s="81"/>
      <c r="M42" s="81">
        <f>'Priority Axis 1'!M42+'Priority Axis 2'!M42+'Priority Axis 3'!M42</f>
        <v>0</v>
      </c>
    </row>
    <row r="43" spans="1:13" ht="12.75">
      <c r="A43" s="82" t="s">
        <v>28</v>
      </c>
      <c r="B43" s="83">
        <f>$B$42+$B$14</f>
        <v>39352220</v>
      </c>
      <c r="C43" s="83">
        <f>$B$27</f>
        <v>8654100</v>
      </c>
      <c r="D43" s="83">
        <f t="shared" si="0"/>
        <v>5273344.09</v>
      </c>
      <c r="E43" s="81">
        <f>'Priority Axis 1'!E43+'Priority Axis 2'!E43+'Priority Axis 3'!E43</f>
        <v>39897628.19291708</v>
      </c>
      <c r="F43" s="81"/>
      <c r="G43" s="81">
        <f>'Priority Axis 1'!G43+'Priority Axis 2'!G43+'Priority Axis 3'!G43</f>
        <v>0</v>
      </c>
      <c r="H43" s="81">
        <f>'Priority Axis 1'!H43+'Priority Axis 2'!H43+'Priority Axis 3'!H43</f>
        <v>29647778.81271243</v>
      </c>
      <c r="I43" s="81"/>
      <c r="J43" s="81">
        <f>'Priority Axis 1'!J43+'Priority Axis 2'!J43+'Priority Axis 3'!J43</f>
        <v>0</v>
      </c>
      <c r="K43" s="81">
        <f>'Priority Axis 1'!K43+'Priority Axis 2'!K43+'Priority Axis 3'!K43</f>
        <v>26414033.430769235</v>
      </c>
      <c r="L43" s="81"/>
      <c r="M43" s="81">
        <f>'Priority Axis 1'!M43+'Priority Axis 2'!M43+'Priority Axis 3'!M43</f>
        <v>0</v>
      </c>
    </row>
    <row r="44" spans="1:13" ht="12.75">
      <c r="A44" s="82" t="s">
        <v>29</v>
      </c>
      <c r="B44" s="83">
        <f>$B$42+$B$14</f>
        <v>39352220</v>
      </c>
      <c r="C44" s="83">
        <f>$B$27</f>
        <v>8654100</v>
      </c>
      <c r="D44" s="83">
        <f t="shared" si="0"/>
        <v>5273344.09</v>
      </c>
      <c r="E44" s="81">
        <f>'Priority Axis 1'!E44+'Priority Axis 2'!E44+'Priority Axis 3'!E44</f>
        <v>40310496.38698302</v>
      </c>
      <c r="F44" s="81"/>
      <c r="G44" s="81">
        <f>'Priority Axis 1'!G44+'Priority Axis 2'!G44+'Priority Axis 3'!G44</f>
        <v>0</v>
      </c>
      <c r="H44" s="81">
        <f>'Priority Axis 1'!H44+'Priority Axis 2'!H44+'Priority Axis 3'!H44</f>
        <v>31958520.37857227</v>
      </c>
      <c r="I44" s="81"/>
      <c r="J44" s="81">
        <f>'Priority Axis 1'!J44+'Priority Axis 2'!J44+'Priority Axis 3'!J44</f>
        <v>0</v>
      </c>
      <c r="K44" s="81">
        <f>'Priority Axis 1'!K44+'Priority Axis 2'!K44+'Priority Axis 3'!K44</f>
        <v>28170704.86695633</v>
      </c>
      <c r="L44" s="81"/>
      <c r="M44" s="81">
        <f>'Priority Axis 1'!M44+'Priority Axis 2'!M44+'Priority Axis 3'!M44</f>
        <v>0</v>
      </c>
    </row>
    <row r="45" spans="1:13" ht="12.75">
      <c r="A45" s="82" t="s">
        <v>30</v>
      </c>
      <c r="B45" s="83">
        <f>$B$42+$B$14</f>
        <v>39352220</v>
      </c>
      <c r="C45" s="83">
        <f>$B$27</f>
        <v>8654100</v>
      </c>
      <c r="D45" s="83">
        <f t="shared" si="0"/>
        <v>5273344.09</v>
      </c>
      <c r="E45" s="81">
        <f>'Priority Axis 1'!E45+'Priority Axis 2'!E45+'Priority Axis 3'!E45</f>
        <v>41543814.93698302</v>
      </c>
      <c r="F45" s="81"/>
      <c r="G45" s="81">
        <f>'Priority Axis 1'!G45+'Priority Axis 2'!G45+'Priority Axis 3'!G45</f>
        <v>0</v>
      </c>
      <c r="H45" s="81">
        <f>'Priority Axis 1'!H45+'Priority Axis 2'!H45+'Priority Axis 3'!H45</f>
        <v>34184182.04634289</v>
      </c>
      <c r="I45" s="81"/>
      <c r="J45" s="81">
        <f>'Priority Axis 1'!J45+'Priority Axis 2'!J45+'Priority Axis 3'!J45</f>
        <v>0</v>
      </c>
      <c r="K45" s="81">
        <f>'Priority Axis 1'!K45+'Priority Axis 2'!K45+'Priority Axis 3'!K45</f>
        <v>29647778.81271243</v>
      </c>
      <c r="L45" s="81"/>
      <c r="M45" s="81">
        <f>'Priority Axis 1'!M45+'Priority Axis 2'!M45+'Priority Axis 3'!M45</f>
        <v>0</v>
      </c>
    </row>
    <row r="46" spans="1:13" ht="12.75">
      <c r="A46" s="82" t="s">
        <v>31</v>
      </c>
      <c r="B46" s="83">
        <f>$B$42+$B$14</f>
        <v>39352220</v>
      </c>
      <c r="C46" s="83">
        <f>$B$31</f>
        <v>15655119</v>
      </c>
      <c r="D46" s="83">
        <f t="shared" si="0"/>
        <v>12274363.09</v>
      </c>
      <c r="E46" s="81">
        <f>'Priority Axis 1'!E46+'Priority Axis 2'!E46+'Priority Axis 3'!E46</f>
        <v>43890644.67167366</v>
      </c>
      <c r="F46" s="81"/>
      <c r="G46" s="81">
        <f>'Priority Axis 1'!G46+'Priority Axis 2'!G46+'Priority Axis 3'!G46</f>
        <v>0</v>
      </c>
      <c r="H46" s="81">
        <f>'Priority Axis 1'!H46+'Priority Axis 2'!H46+'Priority Axis 3'!H46</f>
        <v>35649156.034390986</v>
      </c>
      <c r="I46" s="81"/>
      <c r="J46" s="81">
        <f>'Priority Axis 1'!J46+'Priority Axis 2'!J46+'Priority Axis 3'!J46</f>
        <v>0</v>
      </c>
      <c r="K46" s="81">
        <f>'Priority Axis 1'!K46+'Priority Axis 2'!K46+'Priority Axis 3'!K46</f>
        <v>31958520.37857227</v>
      </c>
      <c r="L46" s="81"/>
      <c r="M46" s="81">
        <f>'Priority Axis 1'!M46+'Priority Axis 2'!M46+'Priority Axis 3'!M46</f>
        <v>0</v>
      </c>
    </row>
    <row r="47" spans="1:13" ht="12.75">
      <c r="A47" s="82" t="s">
        <v>32</v>
      </c>
      <c r="B47" s="83">
        <f aca="true" t="shared" si="1" ref="B47:B58">$B$46+$B$15</f>
        <v>48296513</v>
      </c>
      <c r="C47" s="83">
        <f>$B$31</f>
        <v>15655119</v>
      </c>
      <c r="D47" s="83">
        <f t="shared" si="0"/>
        <v>12274363.09</v>
      </c>
      <c r="E47" s="81">
        <f>'Priority Axis 1'!E47+'Priority Axis 2'!E47+'Priority Axis 3'!E47</f>
        <v>47904424.34880434</v>
      </c>
      <c r="F47" s="81"/>
      <c r="G47" s="81">
        <f>'Priority Axis 1'!G47+'Priority Axis 2'!G47+'Priority Axis 3'!G47</f>
        <v>0</v>
      </c>
      <c r="H47" s="81">
        <f>'Priority Axis 1'!H47+'Priority Axis 2'!H47+'Priority Axis 3'!H47</f>
        <v>37733343.28620486</v>
      </c>
      <c r="I47" s="81"/>
      <c r="J47" s="81">
        <f>'Priority Axis 1'!J47+'Priority Axis 2'!J47+'Priority Axis 3'!J47</f>
        <v>0</v>
      </c>
      <c r="K47" s="81">
        <f>'Priority Axis 1'!K47+'Priority Axis 2'!K47+'Priority Axis 3'!K47</f>
        <v>34123545.23983976</v>
      </c>
      <c r="L47" s="81"/>
      <c r="M47" s="81">
        <f>'Priority Axis 1'!M47+'Priority Axis 2'!M47+'Priority Axis 3'!M47</f>
        <v>0</v>
      </c>
    </row>
    <row r="48" spans="1:13" ht="12.75">
      <c r="A48" s="82" t="s">
        <v>33</v>
      </c>
      <c r="B48" s="83">
        <f t="shared" si="1"/>
        <v>48296513</v>
      </c>
      <c r="C48" s="83">
        <f>$B$31</f>
        <v>15655119</v>
      </c>
      <c r="D48" s="83">
        <f t="shared" si="0"/>
        <v>12274363.09</v>
      </c>
      <c r="E48" s="81">
        <f>'Priority Axis 1'!E48+'Priority Axis 2'!E48+'Priority Axis 3'!E48</f>
        <v>49169449.4532357</v>
      </c>
      <c r="F48" s="81"/>
      <c r="G48" s="81">
        <f>'Priority Axis 1'!G48+'Priority Axis 2'!G48+'Priority Axis 3'!G48</f>
        <v>0</v>
      </c>
      <c r="H48" s="81">
        <f>'Priority Axis 1'!H48+'Priority Axis 2'!H48+'Priority Axis 3'!H48</f>
        <v>39154407.54711726</v>
      </c>
      <c r="I48" s="81"/>
      <c r="J48" s="81">
        <f>'Priority Axis 1'!J48+'Priority Axis 2'!J48+'Priority Axis 3'!J48</f>
        <v>0</v>
      </c>
      <c r="K48" s="81">
        <f>'Priority Axis 1'!K48+'Priority Axis 2'!K48+'Priority Axis 3'!K48</f>
        <v>35588519.22788787</v>
      </c>
      <c r="L48" s="81"/>
      <c r="M48" s="81">
        <f>'Priority Axis 1'!M48+'Priority Axis 2'!M48+'Priority Axis 3'!M48</f>
        <v>0</v>
      </c>
    </row>
    <row r="49" spans="1:13" ht="12.75">
      <c r="A49" s="82" t="s">
        <v>34</v>
      </c>
      <c r="B49" s="83">
        <f t="shared" si="1"/>
        <v>48296513</v>
      </c>
      <c r="C49" s="83">
        <f>$B$31</f>
        <v>15655119</v>
      </c>
      <c r="D49" s="83">
        <f t="shared" si="0"/>
        <v>12274363.09</v>
      </c>
      <c r="E49" s="81">
        <f>'Priority Axis 1'!E49+'Priority Axis 2'!E49+'Priority Axis 3'!E49</f>
        <v>49735158.4532357</v>
      </c>
      <c r="F49" s="81"/>
      <c r="G49" s="81">
        <f>'Priority Axis 1'!G49+'Priority Axis 2'!G49+'Priority Axis 3'!G49</f>
        <v>0</v>
      </c>
      <c r="H49" s="81">
        <f>'Priority Axis 1'!H49+'Priority Axis 2'!H49+'Priority Axis 3'!H49</f>
        <v>40187318.3357294</v>
      </c>
      <c r="I49" s="81"/>
      <c r="J49" s="81">
        <f>'Priority Axis 1'!J49+'Priority Axis 2'!J49+'Priority Axis 3'!J49</f>
        <v>0</v>
      </c>
      <c r="K49" s="81">
        <f>'Priority Axis 1'!K49+'Priority Axis 2'!K49+'Priority Axis 3'!K49</f>
        <v>37733343.28620486</v>
      </c>
      <c r="L49" s="81"/>
      <c r="M49" s="81">
        <f>'Priority Axis 1'!M49+'Priority Axis 2'!M49+'Priority Axis 3'!M49</f>
        <v>0</v>
      </c>
    </row>
    <row r="50" spans="1:13" ht="12.75">
      <c r="A50" s="82" t="s">
        <v>35</v>
      </c>
      <c r="B50" s="83">
        <f t="shared" si="1"/>
        <v>48296513</v>
      </c>
      <c r="C50" s="83">
        <f>$C$49+$B$12+$B$13</f>
        <v>30930440</v>
      </c>
      <c r="D50" s="83">
        <f t="shared" si="0"/>
        <v>27549684.09</v>
      </c>
      <c r="E50" s="81">
        <f>'Priority Axis 1'!E50+'Priority Axis 2'!E50+'Priority Axis 3'!E50</f>
        <v>49735158.4532357</v>
      </c>
      <c r="F50" s="81"/>
      <c r="G50" s="81">
        <f>'Priority Axis 1'!G50+'Priority Axis 2'!G50+'Priority Axis 3'!G50</f>
        <v>0</v>
      </c>
      <c r="H50" s="81">
        <f>'Priority Axis 1'!H50+'Priority Axis 2'!H50+'Priority Axis 3'!H50</f>
        <v>42020887.22144689</v>
      </c>
      <c r="I50" s="81"/>
      <c r="J50" s="81">
        <f>'Priority Axis 1'!J50+'Priority Axis 2'!J50+'Priority Axis 3'!J50</f>
        <v>0</v>
      </c>
      <c r="K50" s="81">
        <f>'Priority Axis 1'!K50+'Priority Axis 2'!K50+'Priority Axis 3'!K50</f>
        <v>39414297.210329294</v>
      </c>
      <c r="L50" s="81"/>
      <c r="M50" s="81">
        <f>'Priority Axis 1'!M50+'Priority Axis 2'!M50+'Priority Axis 3'!M50</f>
        <v>0</v>
      </c>
    </row>
    <row r="51" spans="1:13" ht="12.75">
      <c r="A51" s="82" t="s">
        <v>36</v>
      </c>
      <c r="B51" s="83">
        <f t="shared" si="1"/>
        <v>48296513</v>
      </c>
      <c r="C51" s="83">
        <f>$C$49+$B$12+$B$13</f>
        <v>30930440</v>
      </c>
      <c r="D51" s="83">
        <f t="shared" si="0"/>
        <v>27549684.09</v>
      </c>
      <c r="E51" s="81">
        <f>'Priority Axis 1'!E51+'Priority Axis 2'!E51+'Priority Axis 3'!E51</f>
        <v>49735158.4532357</v>
      </c>
      <c r="F51" s="81"/>
      <c r="G51" s="81">
        <f>'Priority Axis 1'!G51+'Priority Axis 2'!G51+'Priority Axis 3'!G51</f>
        <v>0</v>
      </c>
      <c r="H51" s="81">
        <f>'Priority Axis 1'!H51+'Priority Axis 2'!H51+'Priority Axis 3'!H51</f>
        <v>42842033.2046884</v>
      </c>
      <c r="I51" s="81"/>
      <c r="J51" s="81">
        <f>'Priority Axis 1'!J51+'Priority Axis 2'!J51+'Priority Axis 3'!J51</f>
        <v>0</v>
      </c>
      <c r="K51" s="81">
        <f>'Priority Axis 1'!K51+'Priority Axis 2'!K51+'Priority Axis 3'!K51</f>
        <v>40447207.99894144</v>
      </c>
      <c r="L51" s="81"/>
      <c r="M51" s="81">
        <f>'Priority Axis 1'!M51+'Priority Axis 2'!M51+'Priority Axis 3'!M51</f>
        <v>0</v>
      </c>
    </row>
    <row r="52" spans="1:13" ht="12.75">
      <c r="A52" s="82" t="s">
        <v>37</v>
      </c>
      <c r="B52" s="83">
        <f t="shared" si="1"/>
        <v>48296513</v>
      </c>
      <c r="C52" s="83">
        <f>$C$49+$B$12+$B$13</f>
        <v>30930440</v>
      </c>
      <c r="D52" s="83">
        <f t="shared" si="0"/>
        <v>27549684.09</v>
      </c>
      <c r="E52" s="81">
        <f>'Priority Axis 1'!E52+'Priority Axis 2'!E52+'Priority Axis 3'!E52</f>
        <v>49735158.4532357</v>
      </c>
      <c r="F52" s="81"/>
      <c r="G52" s="81">
        <f>'Priority Axis 1'!G52+'Priority Axis 2'!G52+'Priority Axis 3'!G52</f>
        <v>0</v>
      </c>
      <c r="H52" s="81">
        <f>'Priority Axis 1'!H52+'Priority Axis 2'!H52+'Priority Axis 3'!H52</f>
        <v>44039077.524093874</v>
      </c>
      <c r="I52" s="81"/>
      <c r="J52" s="81">
        <f>'Priority Axis 1'!J52+'Priority Axis 2'!J52+'Priority Axis 3'!J52</f>
        <v>0</v>
      </c>
      <c r="K52" s="81">
        <f>'Priority Axis 1'!K52+'Priority Axis 2'!K52+'Priority Axis 3'!K52</f>
        <v>42358486.094658926</v>
      </c>
      <c r="L52" s="81"/>
      <c r="M52" s="81">
        <f>'Priority Axis 1'!M52+'Priority Axis 2'!M52+'Priority Axis 3'!M52</f>
        <v>0</v>
      </c>
    </row>
    <row r="53" spans="1:13" ht="12.75">
      <c r="A53" s="82" t="s">
        <v>38</v>
      </c>
      <c r="B53" s="83">
        <f t="shared" si="1"/>
        <v>48296513</v>
      </c>
      <c r="C53" s="83">
        <f>$C$49+$B$12+$B$13</f>
        <v>30930440</v>
      </c>
      <c r="D53" s="83">
        <f t="shared" si="0"/>
        <v>27549684.09</v>
      </c>
      <c r="E53" s="81">
        <f>'Priority Axis 1'!E53+'Priority Axis 2'!E53+'Priority Axis 3'!E53</f>
        <v>49735158.4532357</v>
      </c>
      <c r="F53" s="81"/>
      <c r="G53" s="81">
        <f>'Priority Axis 1'!G53+'Priority Axis 2'!G53+'Priority Axis 3'!G53</f>
        <v>0</v>
      </c>
      <c r="H53" s="81">
        <f>'Priority Axis 1'!H53+'Priority Axis 2'!H53+'Priority Axis 3'!H53</f>
        <v>45824746.39749825</v>
      </c>
      <c r="I53" s="81"/>
      <c r="J53" s="81">
        <f>'Priority Axis 1'!J53+'Priority Axis 2'!J53+'Priority Axis 3'!J53</f>
        <v>0</v>
      </c>
      <c r="K53" s="81">
        <f>'Priority Axis 1'!K53+'Priority Axis 2'!K53+'Priority Axis 3'!K53</f>
        <v>43101922.86790043</v>
      </c>
      <c r="L53" s="81"/>
      <c r="M53" s="81">
        <f>'Priority Axis 1'!M53+'Priority Axis 2'!M53+'Priority Axis 3'!M53</f>
        <v>0</v>
      </c>
    </row>
    <row r="54" spans="1:13" ht="12.75">
      <c r="A54" s="82" t="s">
        <v>39</v>
      </c>
      <c r="B54" s="83">
        <f t="shared" si="1"/>
        <v>48296513</v>
      </c>
      <c r="C54" s="83">
        <f>$B$43</f>
        <v>39352220</v>
      </c>
      <c r="D54" s="83">
        <f t="shared" si="0"/>
        <v>35971464.09</v>
      </c>
      <c r="E54" s="81">
        <f>'Priority Axis 1'!E54+'Priority Axis 2'!E54+'Priority Axis 3'!E54</f>
        <v>49735158.4532357</v>
      </c>
      <c r="F54" s="81"/>
      <c r="G54" s="81">
        <f>'Priority Axis 1'!G54+'Priority Axis 2'!G54+'Priority Axis 3'!G54</f>
        <v>0</v>
      </c>
      <c r="H54" s="81">
        <f>'Priority Axis 1'!H54+'Priority Axis 2'!H54+'Priority Axis 3'!H54</f>
        <v>46764841.45777701</v>
      </c>
      <c r="I54" s="81"/>
      <c r="J54" s="81">
        <f>'Priority Axis 1'!J54+'Priority Axis 2'!J54+'Priority Axis 3'!J54</f>
        <v>0</v>
      </c>
      <c r="K54" s="81">
        <f>'Priority Axis 1'!K54+'Priority Axis 2'!K54+'Priority Axis 3'!K54</f>
        <v>44298967.18730591</v>
      </c>
      <c r="L54" s="81"/>
      <c r="M54" s="81">
        <f>'Priority Axis 1'!M54+'Priority Axis 2'!M54+'Priority Axis 3'!M54</f>
        <v>0</v>
      </c>
    </row>
    <row r="55" spans="1:13" ht="12.75">
      <c r="A55" s="82" t="s">
        <v>40</v>
      </c>
      <c r="B55" s="83">
        <f t="shared" si="1"/>
        <v>48296513</v>
      </c>
      <c r="C55" s="83">
        <f>$B$43</f>
        <v>39352220</v>
      </c>
      <c r="D55" s="83">
        <f t="shared" si="0"/>
        <v>35971464.09</v>
      </c>
      <c r="E55" s="81">
        <f>'Priority Axis 1'!E55+'Priority Axis 2'!E55+'Priority Axis 3'!E55</f>
        <v>49735158.4532357</v>
      </c>
      <c r="F55" s="81"/>
      <c r="G55" s="81">
        <f>'Priority Axis 1'!G55+'Priority Axis 2'!G55+'Priority Axis 3'!G55</f>
        <v>0</v>
      </c>
      <c r="H55" s="81">
        <f>'Priority Axis 1'!H55+'Priority Axis 2'!H55+'Priority Axis 3'!H55</f>
        <v>47182580.658728525</v>
      </c>
      <c r="I55" s="81"/>
      <c r="J55" s="81">
        <f>'Priority Axis 1'!J55+'Priority Axis 2'!J55+'Priority Axis 3'!J55</f>
        <v>0</v>
      </c>
      <c r="K55" s="81">
        <f>'Priority Axis 1'!K55+'Priority Axis 2'!K55+'Priority Axis 3'!K55</f>
        <v>45824746.39749825</v>
      </c>
      <c r="L55" s="81"/>
      <c r="M55" s="81">
        <f>'Priority Axis 1'!M55+'Priority Axis 2'!M55+'Priority Axis 3'!M55</f>
        <v>0</v>
      </c>
    </row>
    <row r="56" spans="1:13" ht="12.75">
      <c r="A56" s="82" t="s">
        <v>41</v>
      </c>
      <c r="B56" s="83">
        <f t="shared" si="1"/>
        <v>48296513</v>
      </c>
      <c r="C56" s="83">
        <f>$B$43</f>
        <v>39352220</v>
      </c>
      <c r="D56" s="83">
        <f t="shared" si="0"/>
        <v>35971464.09</v>
      </c>
      <c r="E56" s="81">
        <f>'Priority Axis 1'!E56+'Priority Axis 2'!E56+'Priority Axis 3'!E56</f>
        <v>49735158.4532357</v>
      </c>
      <c r="F56" s="81"/>
      <c r="G56" s="81">
        <f>'Priority Axis 1'!G56+'Priority Axis 2'!G56+'Priority Axis 3'!G56</f>
        <v>0</v>
      </c>
      <c r="H56" s="81">
        <f>'Priority Axis 1'!H56+'Priority Axis 2'!H56+'Priority Axis 3'!H56-1</f>
        <v>48307918.97761156</v>
      </c>
      <c r="I56" s="81"/>
      <c r="J56" s="81">
        <f>'Priority Axis 1'!J56+'Priority Axis 2'!J56+'Priority Axis 3'!J56</f>
        <v>0</v>
      </c>
      <c r="K56" s="81">
        <f>'Priority Axis 1'!K56+'Priority Axis 2'!K56+'Priority Axis 3'!K56</f>
        <v>46642292.557777</v>
      </c>
      <c r="L56" s="81"/>
      <c r="M56" s="81">
        <f>'Priority Axis 1'!M56+'Priority Axis 2'!M56+'Priority Axis 3'!M56</f>
        <v>0</v>
      </c>
    </row>
    <row r="57" spans="1:13" ht="12.75">
      <c r="A57" s="82" t="s">
        <v>42</v>
      </c>
      <c r="B57" s="83">
        <f t="shared" si="1"/>
        <v>48296513</v>
      </c>
      <c r="C57" s="83">
        <f>$B$43</f>
        <v>39352220</v>
      </c>
      <c r="D57" s="83">
        <f t="shared" si="0"/>
        <v>35971464.09</v>
      </c>
      <c r="E57" s="81">
        <f>'Priority Axis 1'!E57+'Priority Axis 2'!E57+'Priority Axis 3'!E57</f>
        <v>49735158.4532357</v>
      </c>
      <c r="F57" s="81"/>
      <c r="G57" s="81">
        <f>'Priority Axis 1'!G57+'Priority Axis 2'!G57+'Priority Axis 3'!G57</f>
        <v>0</v>
      </c>
      <c r="H57" s="81">
        <f>'Priority Axis 1'!H57+'Priority Axis 2'!H57+'Priority Axis 3'!H57-1</f>
        <v>48307918.97761156</v>
      </c>
      <c r="I57" s="81"/>
      <c r="J57" s="81">
        <f>'Priority Axis 1'!J57+'Priority Axis 2'!J57+'Priority Axis 3'!J57</f>
        <v>0</v>
      </c>
      <c r="K57" s="81">
        <f>'Priority Axis 1'!K57+'Priority Axis 2'!K57+'Priority Axis 3'!K57</f>
        <v>47060031.75872853</v>
      </c>
      <c r="L57" s="81"/>
      <c r="M57" s="81">
        <f>'Priority Axis 1'!M57+'Priority Axis 2'!M57+'Priority Axis 3'!M57</f>
        <v>0</v>
      </c>
    </row>
    <row r="58" spans="1:13" ht="12.75">
      <c r="A58" s="82" t="s">
        <v>43</v>
      </c>
      <c r="B58" s="83">
        <f t="shared" si="1"/>
        <v>48296513</v>
      </c>
      <c r="C58" s="83">
        <f>B47</f>
        <v>48296513</v>
      </c>
      <c r="D58" s="83">
        <f>C58</f>
        <v>48296513</v>
      </c>
      <c r="E58" s="81">
        <f>'Priority Axis 1'!E58+'Priority Axis 2'!E58+'Priority Axis 3'!E58</f>
        <v>49735158.4532357</v>
      </c>
      <c r="F58" s="81"/>
      <c r="G58" s="81">
        <f>'Priority Axis 1'!G58+'Priority Axis 2'!G58+'Priority Axis 3'!G58</f>
        <v>0</v>
      </c>
      <c r="H58" s="81">
        <f>'Priority Axis 1'!H58+'Priority Axis 2'!H58+'Priority Axis 3'!H58-1</f>
        <v>48307918.97761156</v>
      </c>
      <c r="I58" s="81"/>
      <c r="J58" s="81">
        <f>'Priority Axis 1'!J58+'Priority Axis 2'!J58+'Priority Axis 3'!J58</f>
        <v>0</v>
      </c>
      <c r="K58" s="81">
        <f>'Priority Axis 1'!K58+'Priority Axis 2'!K58+'Priority Axis 3'!K58-1</f>
        <v>48062821.17761156</v>
      </c>
      <c r="L58" s="81"/>
      <c r="M58" s="81">
        <f>'Priority Axis 1'!M58+'Priority Axis 2'!M58+'Priority Axis 3'!M58</f>
        <v>0</v>
      </c>
    </row>
    <row r="59" spans="1:6" ht="12.75">
      <c r="A59" s="5"/>
      <c r="B59" s="6"/>
      <c r="C59" s="6"/>
      <c r="D59" s="6"/>
      <c r="E59" s="6"/>
      <c r="F59" s="6"/>
    </row>
  </sheetData>
  <mergeCells count="1">
    <mergeCell ref="A2:P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115" workbookViewId="0" topLeftCell="A7">
      <selection activeCell="H17" sqref="H1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customWidth="1"/>
    <col min="6" max="6" width="12.140625" style="0" customWidth="1"/>
    <col min="7" max="7" width="15.7109375" style="0" customWidth="1"/>
    <col min="8" max="9" width="12.57421875" style="0" customWidth="1"/>
    <col min="10" max="12" width="13.00390625" style="0" customWidth="1"/>
    <col min="13" max="13" width="13.421875" style="0" customWidth="1"/>
  </cols>
  <sheetData>
    <row r="1" spans="1:13" ht="22.5" customHeight="1">
      <c r="A1" s="157" t="s">
        <v>113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22.5" customHeight="1">
      <c r="A2" s="154" t="s">
        <v>63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4" spans="1:3" ht="12.75">
      <c r="A4" t="s">
        <v>148</v>
      </c>
      <c r="B4" s="14"/>
      <c r="C4" s="6">
        <f>'IM 1.4'!B5</f>
        <v>2693650</v>
      </c>
    </row>
    <row r="6" ht="12.75">
      <c r="A6" t="s">
        <v>57</v>
      </c>
    </row>
    <row r="7" spans="1:13" ht="45" customHeight="1">
      <c r="A7" s="4" t="s">
        <v>4</v>
      </c>
      <c r="B7" s="4" t="s">
        <v>5</v>
      </c>
      <c r="C7" s="4" t="s">
        <v>6</v>
      </c>
      <c r="D7" s="4" t="s">
        <v>7</v>
      </c>
      <c r="E7" s="12" t="s">
        <v>137</v>
      </c>
      <c r="F7" s="12" t="s">
        <v>139</v>
      </c>
      <c r="G7" s="12" t="s">
        <v>138</v>
      </c>
      <c r="H7" s="12" t="s">
        <v>141</v>
      </c>
      <c r="I7" s="12" t="s">
        <v>142</v>
      </c>
      <c r="J7" s="12" t="s">
        <v>147</v>
      </c>
      <c r="K7" s="12" t="s">
        <v>145</v>
      </c>
      <c r="L7" s="12" t="s">
        <v>146</v>
      </c>
      <c r="M7" s="12" t="s">
        <v>144</v>
      </c>
    </row>
    <row r="8" spans="1:13" ht="12.75">
      <c r="A8" s="5" t="s">
        <v>8</v>
      </c>
      <c r="B8" s="6"/>
      <c r="C8" s="6"/>
      <c r="D8" s="6"/>
      <c r="E8" s="6"/>
      <c r="F8" s="6"/>
      <c r="G8" s="45">
        <v>0</v>
      </c>
      <c r="H8" s="45"/>
      <c r="I8" s="45"/>
      <c r="J8" s="6">
        <v>0</v>
      </c>
      <c r="K8" s="6"/>
      <c r="L8" s="6"/>
      <c r="M8" s="45">
        <v>0</v>
      </c>
    </row>
    <row r="9" spans="1:13" ht="12.75">
      <c r="A9" s="5" t="s">
        <v>9</v>
      </c>
      <c r="B9" s="6"/>
      <c r="C9" s="6"/>
      <c r="D9" s="6"/>
      <c r="E9" s="6"/>
      <c r="F9" s="6"/>
      <c r="G9" s="45">
        <v>0</v>
      </c>
      <c r="H9" s="45"/>
      <c r="I9" s="45"/>
      <c r="J9" s="6">
        <v>0</v>
      </c>
      <c r="K9" s="6"/>
      <c r="L9" s="6"/>
      <c r="M9" s="45">
        <v>0</v>
      </c>
    </row>
    <row r="10" spans="1:13" ht="12.75">
      <c r="A10" s="5" t="s">
        <v>10</v>
      </c>
      <c r="B10" s="6"/>
      <c r="C10" s="6"/>
      <c r="D10" s="6"/>
      <c r="E10" s="6"/>
      <c r="F10" s="6"/>
      <c r="G10" s="45">
        <v>0</v>
      </c>
      <c r="H10" s="45"/>
      <c r="I10" s="45"/>
      <c r="J10" s="6">
        <v>0</v>
      </c>
      <c r="K10" s="6"/>
      <c r="L10" s="6"/>
      <c r="M10" s="45">
        <v>0</v>
      </c>
    </row>
    <row r="11" spans="1:13" ht="12.75">
      <c r="A11" s="5" t="s">
        <v>11</v>
      </c>
      <c r="B11" s="6"/>
      <c r="C11" s="6"/>
      <c r="D11" s="6"/>
      <c r="E11" s="6"/>
      <c r="F11" s="6"/>
      <c r="G11" s="26">
        <v>0</v>
      </c>
      <c r="H11" s="26"/>
      <c r="I11" s="26"/>
      <c r="J11" s="6">
        <v>0</v>
      </c>
      <c r="K11" s="6"/>
      <c r="L11" s="6"/>
      <c r="M11" s="45">
        <v>0</v>
      </c>
    </row>
    <row r="12" spans="1:13" ht="12.75">
      <c r="A12" s="5" t="s">
        <v>12</v>
      </c>
      <c r="B12" s="63"/>
      <c r="C12" s="61"/>
      <c r="D12" s="61"/>
      <c r="E12" s="26">
        <f>763400*0.85/1.95583</f>
        <v>331772.18878941424</v>
      </c>
      <c r="F12" s="73"/>
      <c r="H12" s="26"/>
      <c r="I12" s="74"/>
      <c r="J12" s="6"/>
      <c r="K12" s="6"/>
      <c r="L12" s="66"/>
      <c r="M12" s="45">
        <v>0</v>
      </c>
    </row>
    <row r="13" spans="1:13" ht="12.75">
      <c r="A13" s="5" t="s">
        <v>13</v>
      </c>
      <c r="B13" s="63"/>
      <c r="C13" s="61"/>
      <c r="D13" s="61"/>
      <c r="E13" s="26">
        <f>ROUND(342100*0.85/1.95583+330000*0.85/1.95583,0)</f>
        <v>292093</v>
      </c>
      <c r="F13" s="73"/>
      <c r="H13" s="26"/>
      <c r="I13" s="74"/>
      <c r="J13" s="6"/>
      <c r="K13" s="6"/>
      <c r="L13" s="66"/>
      <c r="M13" s="45"/>
    </row>
    <row r="14" spans="1:13" ht="12.75">
      <c r="A14" s="5" t="s">
        <v>14</v>
      </c>
      <c r="B14" s="63"/>
      <c r="C14" s="61"/>
      <c r="D14" s="61"/>
      <c r="E14" s="26"/>
      <c r="F14" s="73"/>
      <c r="H14" s="26">
        <f>K17*0.3</f>
        <v>61719.63765472971</v>
      </c>
      <c r="I14" s="74"/>
      <c r="J14" s="6"/>
      <c r="K14" s="6"/>
      <c r="L14" s="66"/>
      <c r="M14" s="45">
        <v>0</v>
      </c>
    </row>
    <row r="15" spans="1:13" ht="12.75">
      <c r="A15" s="5" t="s">
        <v>15</v>
      </c>
      <c r="B15" s="63"/>
      <c r="C15" s="61"/>
      <c r="D15" s="61"/>
      <c r="E15" s="26"/>
      <c r="F15" s="73"/>
      <c r="H15" s="26">
        <f>K17*0.7</f>
        <v>144012.487861036</v>
      </c>
      <c r="I15" s="74"/>
      <c r="J15" s="6"/>
      <c r="K15" s="6">
        <v>0</v>
      </c>
      <c r="L15" s="66"/>
      <c r="M15" s="45">
        <v>0</v>
      </c>
    </row>
    <row r="16" spans="1:13" ht="12.75">
      <c r="A16" s="5" t="s">
        <v>16</v>
      </c>
      <c r="B16" s="63"/>
      <c r="C16" s="61"/>
      <c r="D16" s="61"/>
      <c r="E16" s="26">
        <f>900000*0.85/1.95583</f>
        <v>391138.28911510715</v>
      </c>
      <c r="F16" s="73"/>
      <c r="H16" s="26">
        <f aca="true" t="shared" si="0" ref="H16:H41">K18</f>
        <v>205732.1255157657</v>
      </c>
      <c r="I16" s="74"/>
      <c r="J16" s="6"/>
      <c r="K16" s="6">
        <v>0</v>
      </c>
      <c r="L16" s="66"/>
      <c r="M16" s="45">
        <v>0</v>
      </c>
    </row>
    <row r="17" spans="1:12" ht="12.75">
      <c r="A17" s="5" t="s">
        <v>17</v>
      </c>
      <c r="B17" s="63"/>
      <c r="C17" s="61"/>
      <c r="D17" s="61"/>
      <c r="E17" s="26"/>
      <c r="F17" s="73"/>
      <c r="H17" s="26">
        <f t="shared" si="0"/>
        <v>141979.89166939358</v>
      </c>
      <c r="I17" s="74"/>
      <c r="J17" s="6"/>
      <c r="K17" s="45">
        <f>(E12*0.2+E13*0.125)*2</f>
        <v>205732.1255157657</v>
      </c>
      <c r="L17" s="66"/>
    </row>
    <row r="18" spans="1:12" ht="12.75">
      <c r="A18" s="5" t="s">
        <v>18</v>
      </c>
      <c r="B18" s="63"/>
      <c r="C18" s="61"/>
      <c r="D18" s="61"/>
      <c r="E18" s="26">
        <f>50000*0.85/1.95583</f>
        <v>21729.904950839285</v>
      </c>
      <c r="F18" s="73"/>
      <c r="H18" s="26">
        <f t="shared" si="0"/>
        <v>75625.45391151072</v>
      </c>
      <c r="I18" s="74"/>
      <c r="J18" s="6"/>
      <c r="K18" s="6">
        <f>2*(E12*0.2+E13*0.125)</f>
        <v>205732.1255157657</v>
      </c>
      <c r="L18" s="66"/>
    </row>
    <row r="19" spans="1:12" ht="12.75">
      <c r="A19" s="5" t="s">
        <v>19</v>
      </c>
      <c r="B19" s="63"/>
      <c r="C19" s="61"/>
      <c r="D19" s="61"/>
      <c r="E19" s="26"/>
      <c r="F19" s="73"/>
      <c r="H19" s="26">
        <f t="shared" si="0"/>
        <v>75625.45391151072</v>
      </c>
      <c r="I19" s="74"/>
      <c r="J19" s="6"/>
      <c r="K19" s="6">
        <f>E12*0.2+E13*0.125+E16*0.1</f>
        <v>141979.89166939358</v>
      </c>
      <c r="L19" s="66"/>
    </row>
    <row r="20" spans="1:12" ht="12.75">
      <c r="A20" s="5" t="s">
        <v>20</v>
      </c>
      <c r="B20" s="63"/>
      <c r="C20" s="61"/>
      <c r="D20" s="61"/>
      <c r="E20" s="26">
        <f>300000*0.85/1.95583</f>
        <v>130379.42970503571</v>
      </c>
      <c r="F20" s="73"/>
      <c r="H20" s="26">
        <f t="shared" si="0"/>
        <v>75625.45391151072</v>
      </c>
      <c r="I20" s="74"/>
      <c r="J20" s="6"/>
      <c r="K20" s="6">
        <f>+E13*0.125+0.5*E15+E16*0.1</f>
        <v>75625.45391151072</v>
      </c>
      <c r="L20" s="66"/>
    </row>
    <row r="21" spans="1:12" ht="12.75">
      <c r="A21" s="5" t="s">
        <v>21</v>
      </c>
      <c r="B21" s="63"/>
      <c r="C21" s="61"/>
      <c r="D21" s="61"/>
      <c r="E21" s="26"/>
      <c r="F21" s="73"/>
      <c r="H21" s="26">
        <f t="shared" si="0"/>
        <v>73881.67683285358</v>
      </c>
      <c r="I21" s="74"/>
      <c r="J21" s="6"/>
      <c r="K21" s="6">
        <f>+E13*0.125+E16*0.1</f>
        <v>75625.45391151072</v>
      </c>
      <c r="L21" s="66"/>
    </row>
    <row r="22" spans="1:12" ht="12.75">
      <c r="A22" s="5" t="s">
        <v>22</v>
      </c>
      <c r="B22" s="63"/>
      <c r="C22" s="61"/>
      <c r="D22" s="61"/>
      <c r="E22" s="26">
        <f>250000*0.85/1.95583</f>
        <v>108649.52475419643</v>
      </c>
      <c r="F22" s="73"/>
      <c r="H22" s="26">
        <f t="shared" si="0"/>
        <v>52151.77188201429</v>
      </c>
      <c r="I22" s="74"/>
      <c r="J22" s="6"/>
      <c r="K22" s="46">
        <f>+E13*0.125+E16*0.1</f>
        <v>75625.45391151072</v>
      </c>
      <c r="L22" s="66"/>
    </row>
    <row r="23" spans="1:12" ht="12.75">
      <c r="A23" s="5" t="s">
        <v>23</v>
      </c>
      <c r="B23" s="63"/>
      <c r="C23" s="61"/>
      <c r="D23" s="61"/>
      <c r="E23" s="26"/>
      <c r="F23" s="73"/>
      <c r="H23" s="26">
        <f t="shared" si="0"/>
        <v>91265.60079352501</v>
      </c>
      <c r="I23" s="74"/>
      <c r="J23" s="6"/>
      <c r="K23" s="6">
        <f>+E16*0.1+E18+E20*0.1</f>
        <v>73881.67683285358</v>
      </c>
      <c r="L23" s="66"/>
    </row>
    <row r="24" spans="1:12" ht="12.75">
      <c r="A24" s="5" t="s">
        <v>24</v>
      </c>
      <c r="B24" s="63"/>
      <c r="C24" s="61"/>
      <c r="D24" s="62"/>
      <c r="E24" s="6">
        <f>800000*0.85/1.95583</f>
        <v>347678.47921342857</v>
      </c>
      <c r="F24" s="73"/>
      <c r="H24" s="26">
        <f t="shared" si="0"/>
        <v>91265.60079352501</v>
      </c>
      <c r="I24" s="74"/>
      <c r="J24" s="6"/>
      <c r="K24" s="6">
        <f>0.5*E15+E16*0.1+E20*0.1</f>
        <v>52151.77188201429</v>
      </c>
      <c r="L24" s="66"/>
    </row>
    <row r="25" spans="1:12" ht="12.75">
      <c r="A25" s="5" t="s">
        <v>25</v>
      </c>
      <c r="B25" s="63"/>
      <c r="C25" s="61"/>
      <c r="D25" s="61"/>
      <c r="E25" s="6"/>
      <c r="F25" s="73"/>
      <c r="H25" s="26">
        <f t="shared" si="0"/>
        <v>173839.23960671428</v>
      </c>
      <c r="I25" s="74"/>
      <c r="J25" s="6"/>
      <c r="K25" s="6">
        <f>+E16*0.2+E20*0.1</f>
        <v>91265.60079352501</v>
      </c>
      <c r="L25" s="66"/>
    </row>
    <row r="26" spans="1:12" ht="12.75">
      <c r="A26" s="5" t="s">
        <v>26</v>
      </c>
      <c r="B26" s="63"/>
      <c r="C26" s="61"/>
      <c r="D26" s="61"/>
      <c r="E26" s="6">
        <f>350000*0.85/1.95583</f>
        <v>152109.334655875</v>
      </c>
      <c r="F26" s="73"/>
      <c r="H26" s="26">
        <f t="shared" si="0"/>
        <v>65189.714852517856</v>
      </c>
      <c r="I26" s="74"/>
      <c r="J26" s="6"/>
      <c r="K26" s="6">
        <f>+E16*0.2+E20*0.1</f>
        <v>91265.60079352501</v>
      </c>
      <c r="L26" s="66"/>
    </row>
    <row r="27" spans="1:12" ht="12.75">
      <c r="A27" s="5" t="s">
        <v>27</v>
      </c>
      <c r="B27" s="63"/>
      <c r="C27" s="61"/>
      <c r="D27" s="61"/>
      <c r="E27" s="6"/>
      <c r="F27" s="73"/>
      <c r="H27" s="26">
        <f t="shared" si="0"/>
        <v>58670.74336726607</v>
      </c>
      <c r="I27" s="74"/>
      <c r="J27" s="6"/>
      <c r="K27" s="6">
        <f>+E20*0.1+E22+E24*0.15</f>
        <v>173839.23960671428</v>
      </c>
      <c r="L27" s="66"/>
    </row>
    <row r="28" spans="1:12" ht="12.75">
      <c r="A28" s="5" t="s">
        <v>28</v>
      </c>
      <c r="B28" s="63"/>
      <c r="C28" s="61"/>
      <c r="D28" s="61"/>
      <c r="E28" s="6"/>
      <c r="F28" s="73"/>
      <c r="H28" s="26">
        <f t="shared" si="0"/>
        <v>58670.74336726607</v>
      </c>
      <c r="I28" s="74"/>
      <c r="J28" s="6"/>
      <c r="K28" s="6">
        <f>+E20*0.1+E24*0.15</f>
        <v>65189.714852517856</v>
      </c>
      <c r="L28" s="66"/>
    </row>
    <row r="29" spans="1:12" ht="12.75">
      <c r="A29" s="5" t="s">
        <v>29</v>
      </c>
      <c r="B29" s="63"/>
      <c r="C29" s="61"/>
      <c r="D29" s="61"/>
      <c r="E29" s="6">
        <f>950000*0.85/1.95583</f>
        <v>412868.19406594645</v>
      </c>
      <c r="F29" s="73"/>
      <c r="H29" s="26">
        <f t="shared" si="0"/>
        <v>120600.97247715804</v>
      </c>
      <c r="I29" s="74"/>
      <c r="J29" s="6"/>
      <c r="K29" s="6">
        <f>+E20*0.05+E24*0.15</f>
        <v>58670.74336726607</v>
      </c>
      <c r="L29" s="66"/>
    </row>
    <row r="30" spans="1:12" ht="12.75">
      <c r="A30" s="5" t="s">
        <v>30</v>
      </c>
      <c r="B30" s="63"/>
      <c r="C30" s="61"/>
      <c r="D30" s="61"/>
      <c r="E30" s="6"/>
      <c r="F30" s="73"/>
      <c r="H30" s="26">
        <f t="shared" si="0"/>
        <v>89092.61029844108</v>
      </c>
      <c r="I30" s="74"/>
      <c r="J30" s="6"/>
      <c r="K30" s="6">
        <f>+E20*0.05+E24*0.15</f>
        <v>58670.74336726607</v>
      </c>
      <c r="L30" s="66"/>
    </row>
    <row r="31" spans="1:12" ht="12.75">
      <c r="A31" s="5" t="s">
        <v>31</v>
      </c>
      <c r="B31" s="63"/>
      <c r="C31" s="61"/>
      <c r="D31" s="61"/>
      <c r="E31" s="6"/>
      <c r="F31" s="73"/>
      <c r="H31" s="26">
        <f t="shared" si="0"/>
        <v>82573.63881318929</v>
      </c>
      <c r="I31" s="74"/>
      <c r="J31" s="6"/>
      <c r="K31" s="6">
        <f>+E20*0.05+E24*0.1+E26*0.25+E29*0.1</f>
        <v>120600.97247715804</v>
      </c>
      <c r="L31" s="66"/>
    </row>
    <row r="32" spans="1:12" ht="12.75">
      <c r="A32" s="5" t="s">
        <v>32</v>
      </c>
      <c r="B32" s="63"/>
      <c r="C32" s="61"/>
      <c r="D32" s="61"/>
      <c r="E32" s="6">
        <f>(819725+400000)*0.85/1.95583-24859</f>
        <v>505231.166323249</v>
      </c>
      <c r="F32" s="73"/>
      <c r="H32" s="26">
        <f t="shared" si="0"/>
        <v>139615.726930766</v>
      </c>
      <c r="I32" s="74"/>
      <c r="J32" s="6"/>
      <c r="K32" s="6">
        <f>+E20*0.1+E24*0.1+E29*0.1</f>
        <v>89092.61029844108</v>
      </c>
      <c r="L32" s="66"/>
    </row>
    <row r="33" spans="1:12" ht="12.75">
      <c r="A33" s="5" t="s">
        <v>33</v>
      </c>
      <c r="B33" s="61"/>
      <c r="C33" s="61"/>
      <c r="D33" s="62"/>
      <c r="E33" s="62"/>
      <c r="F33" s="62"/>
      <c r="G33" s="6"/>
      <c r="H33" s="26">
        <f t="shared" si="0"/>
        <v>129837.2697028883</v>
      </c>
      <c r="I33" s="74"/>
      <c r="J33" s="6"/>
      <c r="K33" s="6">
        <f>+E20*0.05+E24*0.1+E29*0.1</f>
        <v>82573.63881318929</v>
      </c>
      <c r="L33" s="66"/>
    </row>
    <row r="34" spans="1:12" ht="12.75">
      <c r="A34" s="5" t="s">
        <v>34</v>
      </c>
      <c r="B34" s="61"/>
      <c r="C34" s="61"/>
      <c r="D34" s="62"/>
      <c r="E34" s="62"/>
      <c r="F34" s="62"/>
      <c r="G34" s="6"/>
      <c r="H34" s="26">
        <f t="shared" si="0"/>
        <v>91809.93603891955</v>
      </c>
      <c r="I34" s="74"/>
      <c r="J34" s="6"/>
      <c r="K34" s="6">
        <f>+E20*0.1+E24*0.1+E29*0.1+E32*0.1</f>
        <v>139615.726930766</v>
      </c>
      <c r="L34" s="66"/>
    </row>
    <row r="35" spans="1:12" ht="12.75">
      <c r="A35" s="5" t="s">
        <v>35</v>
      </c>
      <c r="B35" s="61"/>
      <c r="C35" s="61"/>
      <c r="D35" s="62"/>
      <c r="E35" s="62"/>
      <c r="F35" s="62"/>
      <c r="G35" s="6"/>
      <c r="H35" s="26">
        <f t="shared" si="0"/>
        <v>91809.93603891955</v>
      </c>
      <c r="I35" s="74"/>
      <c r="J35" s="6"/>
      <c r="K35" s="6">
        <f>E26*0.25+E29*0.1+E32*0.1</f>
        <v>129837.2697028883</v>
      </c>
      <c r="L35" s="66"/>
    </row>
    <row r="36" spans="1:12" ht="12.75">
      <c r="A36" s="5" t="s">
        <v>36</v>
      </c>
      <c r="B36" s="61"/>
      <c r="C36" s="61"/>
      <c r="D36" s="62"/>
      <c r="E36" s="62"/>
      <c r="F36" s="62"/>
      <c r="G36" s="6"/>
      <c r="H36" s="26">
        <f t="shared" si="0"/>
        <v>91809.93603891955</v>
      </c>
      <c r="I36" s="74"/>
      <c r="J36" s="6"/>
      <c r="K36" s="6">
        <f>+E29*0.1+E32*0.1</f>
        <v>91809.93603891955</v>
      </c>
      <c r="L36" s="66"/>
    </row>
    <row r="37" spans="1:12" ht="12.75">
      <c r="A37" s="5" t="s">
        <v>37</v>
      </c>
      <c r="B37" s="57"/>
      <c r="C37" s="57"/>
      <c r="D37" s="58"/>
      <c r="E37" s="58"/>
      <c r="F37" s="58"/>
      <c r="G37" s="6"/>
      <c r="H37" s="26">
        <f t="shared" si="0"/>
        <v>129837.2697028883</v>
      </c>
      <c r="I37" s="74"/>
      <c r="J37" s="6"/>
      <c r="K37" s="6">
        <f>+E29*0.1+E32*0.1</f>
        <v>91809.93603891955</v>
      </c>
      <c r="L37" s="66"/>
    </row>
    <row r="38" spans="1:12" ht="12.75">
      <c r="A38" s="5" t="s">
        <v>38</v>
      </c>
      <c r="B38" s="57"/>
      <c r="C38" s="57"/>
      <c r="D38" s="58"/>
      <c r="E38" s="58"/>
      <c r="F38" s="58"/>
      <c r="G38" s="6"/>
      <c r="H38" s="26">
        <f t="shared" si="0"/>
        <v>91809.93603891955</v>
      </c>
      <c r="I38" s="74"/>
      <c r="J38" s="6"/>
      <c r="K38" s="6">
        <f>+E29*0.1+E32*0.1</f>
        <v>91809.93603891955</v>
      </c>
      <c r="L38" s="66"/>
    </row>
    <row r="39" spans="1:12" ht="12.75">
      <c r="A39" s="5" t="s">
        <v>39</v>
      </c>
      <c r="B39" s="57"/>
      <c r="C39" s="57"/>
      <c r="D39" s="58"/>
      <c r="E39" s="58"/>
      <c r="F39" s="58"/>
      <c r="G39" s="6"/>
      <c r="H39" s="26">
        <f t="shared" si="0"/>
        <v>50523.116632324905</v>
      </c>
      <c r="I39" s="74"/>
      <c r="J39" s="6"/>
      <c r="K39" s="6">
        <f>E26*0.25+E29*0.1+E32*0.1</f>
        <v>129837.2697028883</v>
      </c>
      <c r="L39" s="66"/>
    </row>
    <row r="40" spans="1:12" ht="12.75">
      <c r="A40" s="5" t="s">
        <v>40</v>
      </c>
      <c r="B40" s="57"/>
      <c r="C40" s="58"/>
      <c r="D40" s="58"/>
      <c r="E40" s="58"/>
      <c r="F40" s="58"/>
      <c r="G40" s="6"/>
      <c r="H40" s="26">
        <f t="shared" si="0"/>
        <v>50523.116632324905</v>
      </c>
      <c r="I40" s="74"/>
      <c r="J40" s="6"/>
      <c r="K40" s="6">
        <f>+E29*0.1+E32*0.1</f>
        <v>91809.93603891955</v>
      </c>
      <c r="L40" s="66"/>
    </row>
    <row r="41" spans="1:12" ht="12.75">
      <c r="A41" s="5" t="s">
        <v>41</v>
      </c>
      <c r="B41" s="57"/>
      <c r="C41" s="58"/>
      <c r="D41" s="58"/>
      <c r="E41" s="58"/>
      <c r="F41" s="58"/>
      <c r="G41" s="6"/>
      <c r="H41" s="26">
        <f t="shared" si="0"/>
        <v>88550.45029629365</v>
      </c>
      <c r="I41" s="74"/>
      <c r="J41" s="6"/>
      <c r="K41" s="6">
        <f>+E32*0.1</f>
        <v>50523.116632324905</v>
      </c>
      <c r="L41" s="66"/>
    </row>
    <row r="42" spans="1:12" ht="12.75">
      <c r="A42" s="5" t="s">
        <v>42</v>
      </c>
      <c r="B42" s="57"/>
      <c r="C42" s="58"/>
      <c r="D42" s="58"/>
      <c r="E42" s="58"/>
      <c r="F42" s="58"/>
      <c r="G42" s="6"/>
      <c r="H42" s="6"/>
      <c r="I42" s="6"/>
      <c r="J42" s="6"/>
      <c r="K42" s="6">
        <f>+E32*0.1</f>
        <v>50523.116632324905</v>
      </c>
      <c r="L42" s="66"/>
    </row>
    <row r="43" spans="1:12" ht="12.75">
      <c r="A43" s="5" t="s">
        <v>43</v>
      </c>
      <c r="B43" s="57"/>
      <c r="C43" s="58"/>
      <c r="D43" s="58"/>
      <c r="E43" s="58"/>
      <c r="F43" s="58"/>
      <c r="J43" s="6"/>
      <c r="K43" s="6">
        <f>E26*0.25+E32*0.1</f>
        <v>88550.45029629365</v>
      </c>
      <c r="L43" s="66"/>
    </row>
    <row r="44" spans="1:13" ht="12.75">
      <c r="A44" s="5"/>
      <c r="B44" s="6"/>
      <c r="G44" s="6"/>
      <c r="H44" s="6"/>
      <c r="I44" s="6"/>
      <c r="J44" s="6"/>
      <c r="K44" s="6"/>
      <c r="L44" s="6"/>
      <c r="M44" s="6"/>
    </row>
    <row r="45" spans="10:13" ht="12.75">
      <c r="J45" s="6"/>
      <c r="K45" s="6"/>
      <c r="L45" s="6"/>
      <c r="M45" s="6"/>
    </row>
    <row r="46" spans="11:13" ht="12.75">
      <c r="K46" s="6"/>
      <c r="L46" s="6"/>
      <c r="M46" s="6"/>
    </row>
    <row r="47" ht="12.75">
      <c r="M47" s="6"/>
    </row>
    <row r="48" ht="12.75">
      <c r="A48" t="s">
        <v>58</v>
      </c>
    </row>
    <row r="50" spans="1:13" ht="38.25">
      <c r="A50" s="4" t="s">
        <v>4</v>
      </c>
      <c r="B50" s="4" t="s">
        <v>5</v>
      </c>
      <c r="C50" s="4" t="s">
        <v>6</v>
      </c>
      <c r="D50" s="4" t="s">
        <v>7</v>
      </c>
      <c r="E50" s="12" t="s">
        <v>137</v>
      </c>
      <c r="F50" s="12" t="s">
        <v>139</v>
      </c>
      <c r="G50" s="12" t="s">
        <v>138</v>
      </c>
      <c r="H50" s="12" t="s">
        <v>141</v>
      </c>
      <c r="I50" s="12" t="s">
        <v>142</v>
      </c>
      <c r="J50" s="12" t="s">
        <v>147</v>
      </c>
      <c r="K50" s="12" t="s">
        <v>145</v>
      </c>
      <c r="L50" s="12" t="s">
        <v>146</v>
      </c>
      <c r="M50" s="12" t="s">
        <v>144</v>
      </c>
    </row>
    <row r="51" spans="1:13" ht="12.75">
      <c r="A51" s="5" t="s">
        <v>8</v>
      </c>
      <c r="B51">
        <v>0</v>
      </c>
      <c r="C51" s="6">
        <v>0</v>
      </c>
      <c r="D51" s="6">
        <v>0</v>
      </c>
      <c r="E51" s="6"/>
      <c r="F51" s="6"/>
      <c r="G51" s="6">
        <f>G8</f>
        <v>0</v>
      </c>
      <c r="H51" s="6"/>
      <c r="I51" s="6"/>
      <c r="J51" s="6">
        <f>J8</f>
        <v>0</v>
      </c>
      <c r="K51" s="6"/>
      <c r="L51" s="6"/>
      <c r="M51" s="6">
        <f>M8</f>
        <v>0</v>
      </c>
    </row>
    <row r="52" spans="1:13" ht="12.75">
      <c r="A52" s="5" t="s">
        <v>9</v>
      </c>
      <c r="B52">
        <v>0</v>
      </c>
      <c r="C52" s="6">
        <v>0</v>
      </c>
      <c r="D52" s="6">
        <v>0</v>
      </c>
      <c r="E52" s="6"/>
      <c r="F52" s="6"/>
      <c r="G52" s="6">
        <f>G51+G9</f>
        <v>0</v>
      </c>
      <c r="H52" s="6"/>
      <c r="I52" s="6"/>
      <c r="J52" s="6">
        <f>J51+J9</f>
        <v>0</v>
      </c>
      <c r="K52" s="6"/>
      <c r="L52" s="6"/>
      <c r="M52" s="6">
        <f>M51+M9</f>
        <v>0</v>
      </c>
    </row>
    <row r="53" spans="1:13" ht="12.75">
      <c r="A53" s="5" t="s">
        <v>10</v>
      </c>
      <c r="B53">
        <v>0</v>
      </c>
      <c r="C53" s="6">
        <v>0</v>
      </c>
      <c r="D53" s="6">
        <v>0</v>
      </c>
      <c r="E53" s="6"/>
      <c r="F53" s="6"/>
      <c r="G53" s="6">
        <f>G52+G10</f>
        <v>0</v>
      </c>
      <c r="H53" s="6"/>
      <c r="I53" s="6"/>
      <c r="J53" s="6">
        <f>J52+J10</f>
        <v>0</v>
      </c>
      <c r="K53" s="6"/>
      <c r="L53" s="6"/>
      <c r="M53" s="6">
        <f>M52+M10</f>
        <v>0</v>
      </c>
    </row>
    <row r="54" spans="1:13" ht="12.75">
      <c r="A54" s="5" t="s">
        <v>11</v>
      </c>
      <c r="B54" s="6"/>
      <c r="C54" s="6"/>
      <c r="D54" s="6"/>
      <c r="E54" s="6"/>
      <c r="F54" s="6"/>
      <c r="G54" s="6">
        <f>G53+G11</f>
        <v>0</v>
      </c>
      <c r="H54" s="6"/>
      <c r="I54" s="6"/>
      <c r="J54" s="6">
        <f>J53+J11</f>
        <v>0</v>
      </c>
      <c r="K54" s="6"/>
      <c r="L54" s="6"/>
      <c r="M54" s="6">
        <f>M53+M11</f>
        <v>0</v>
      </c>
    </row>
    <row r="55" spans="1:13" ht="12.75">
      <c r="A55" s="5" t="s">
        <v>12</v>
      </c>
      <c r="B55" s="6"/>
      <c r="C55" s="6"/>
      <c r="D55" s="6"/>
      <c r="E55" s="6">
        <f>E54+E12</f>
        <v>331772.18878941424</v>
      </c>
      <c r="F55" s="6">
        <f>F54+F12</f>
        <v>0</v>
      </c>
      <c r="G55" s="6">
        <f>G54+G12</f>
        <v>0</v>
      </c>
      <c r="H55" s="6">
        <f>H54+H12</f>
        <v>0</v>
      </c>
      <c r="I55" s="6">
        <f>I54+I12</f>
        <v>0</v>
      </c>
      <c r="J55" s="6">
        <f>J54+J12</f>
        <v>0</v>
      </c>
      <c r="K55" s="6">
        <f aca="true" t="shared" si="1" ref="K55:K70">K54+K12</f>
        <v>0</v>
      </c>
      <c r="L55" s="6"/>
      <c r="M55" s="6">
        <f>M54+M12</f>
        <v>0</v>
      </c>
    </row>
    <row r="56" spans="1:13" ht="12.75">
      <c r="A56" s="5" t="s">
        <v>13</v>
      </c>
      <c r="B56" s="6"/>
      <c r="C56" s="6"/>
      <c r="D56" s="6"/>
      <c r="E56" s="6">
        <f aca="true" t="shared" si="2" ref="E56:E86">E55+E13</f>
        <v>623865.1887894142</v>
      </c>
      <c r="F56" s="6"/>
      <c r="G56" s="6"/>
      <c r="H56" s="6">
        <f aca="true" t="shared" si="3" ref="H56:H70">H55+H13</f>
        <v>0</v>
      </c>
      <c r="I56" s="6"/>
      <c r="J56" s="6">
        <f aca="true" t="shared" si="4" ref="J56:K86">J55+J13</f>
        <v>0</v>
      </c>
      <c r="K56" s="6">
        <f t="shared" si="1"/>
        <v>0</v>
      </c>
      <c r="L56" s="6"/>
      <c r="M56" s="6">
        <f>M55+M14</f>
        <v>0</v>
      </c>
    </row>
    <row r="57" spans="1:13" ht="12.75">
      <c r="A57" s="5" t="s">
        <v>14</v>
      </c>
      <c r="B57" s="6"/>
      <c r="C57" s="6"/>
      <c r="D57" s="6"/>
      <c r="E57" s="6">
        <f t="shared" si="2"/>
        <v>623865.1887894142</v>
      </c>
      <c r="F57" s="6"/>
      <c r="G57" s="6"/>
      <c r="H57" s="6">
        <f t="shared" si="3"/>
        <v>61719.63765472971</v>
      </c>
      <c r="I57" s="6"/>
      <c r="J57" s="6">
        <f t="shared" si="4"/>
        <v>0</v>
      </c>
      <c r="K57" s="6">
        <f t="shared" si="1"/>
        <v>0</v>
      </c>
      <c r="L57" s="6"/>
      <c r="M57" s="6">
        <f>M56+M15</f>
        <v>0</v>
      </c>
    </row>
    <row r="58" spans="1:13" ht="12.75">
      <c r="A58" s="5" t="s">
        <v>15</v>
      </c>
      <c r="B58" s="6"/>
      <c r="C58" s="6"/>
      <c r="D58" s="6"/>
      <c r="E58" s="6">
        <f t="shared" si="2"/>
        <v>623865.1887894142</v>
      </c>
      <c r="F58" s="6"/>
      <c r="G58" s="6"/>
      <c r="H58" s="6">
        <f t="shared" si="3"/>
        <v>205732.1255157657</v>
      </c>
      <c r="I58" s="6"/>
      <c r="J58" s="6">
        <f t="shared" si="4"/>
        <v>0</v>
      </c>
      <c r="K58" s="6">
        <f t="shared" si="1"/>
        <v>0</v>
      </c>
      <c r="L58" s="6"/>
      <c r="M58" s="6">
        <f>M57+M15</f>
        <v>0</v>
      </c>
    </row>
    <row r="59" spans="1:13" ht="12.75">
      <c r="A59" s="5" t="s">
        <v>16</v>
      </c>
      <c r="B59" s="6"/>
      <c r="C59" s="6"/>
      <c r="D59" s="6"/>
      <c r="E59" s="6">
        <f t="shared" si="2"/>
        <v>1015003.4779045214</v>
      </c>
      <c r="F59" s="6"/>
      <c r="G59" s="6"/>
      <c r="H59" s="6">
        <f t="shared" si="3"/>
        <v>411464.2510315314</v>
      </c>
      <c r="I59" s="6"/>
      <c r="J59" s="6">
        <f t="shared" si="4"/>
        <v>0</v>
      </c>
      <c r="K59" s="6">
        <f t="shared" si="1"/>
        <v>0</v>
      </c>
      <c r="L59" s="6"/>
      <c r="M59" s="6">
        <f>M58+M16</f>
        <v>0</v>
      </c>
    </row>
    <row r="60" spans="1:13" ht="12.75">
      <c r="A60" s="5" t="s">
        <v>17</v>
      </c>
      <c r="B60" s="6"/>
      <c r="C60" s="6"/>
      <c r="D60" s="6"/>
      <c r="E60" s="6">
        <f t="shared" si="2"/>
        <v>1015003.4779045214</v>
      </c>
      <c r="F60" s="6"/>
      <c r="G60" s="6"/>
      <c r="H60" s="6">
        <f t="shared" si="3"/>
        <v>553444.142700925</v>
      </c>
      <c r="I60" s="6"/>
      <c r="J60" s="6">
        <f t="shared" si="4"/>
        <v>0</v>
      </c>
      <c r="K60" s="6">
        <f t="shared" si="1"/>
        <v>205732.1255157657</v>
      </c>
      <c r="L60" s="6"/>
      <c r="M60" s="6"/>
    </row>
    <row r="61" spans="1:13" ht="12.75">
      <c r="A61" s="5" t="s">
        <v>18</v>
      </c>
      <c r="B61" s="6"/>
      <c r="C61" s="6"/>
      <c r="D61" s="6"/>
      <c r="E61" s="6">
        <f t="shared" si="2"/>
        <v>1036733.3828553606</v>
      </c>
      <c r="F61" s="6"/>
      <c r="G61" s="6"/>
      <c r="H61" s="6">
        <f t="shared" si="3"/>
        <v>629069.5966124358</v>
      </c>
      <c r="I61" s="6"/>
      <c r="J61" s="6">
        <f t="shared" si="4"/>
        <v>0</v>
      </c>
      <c r="K61" s="6">
        <f t="shared" si="1"/>
        <v>411464.2510315314</v>
      </c>
      <c r="L61" s="6"/>
      <c r="M61" s="6"/>
    </row>
    <row r="62" spans="1:13" ht="12.75">
      <c r="A62" s="5" t="s">
        <v>19</v>
      </c>
      <c r="B62" s="6"/>
      <c r="C62" s="6"/>
      <c r="D62" s="6"/>
      <c r="E62" s="6">
        <f t="shared" si="2"/>
        <v>1036733.3828553606</v>
      </c>
      <c r="F62" s="6"/>
      <c r="G62" s="6"/>
      <c r="H62" s="6">
        <f t="shared" si="3"/>
        <v>704695.0505239465</v>
      </c>
      <c r="I62" s="6"/>
      <c r="J62" s="6">
        <f t="shared" si="4"/>
        <v>0</v>
      </c>
      <c r="K62" s="6">
        <f t="shared" si="1"/>
        <v>553444.142700925</v>
      </c>
      <c r="L62" s="6"/>
      <c r="M62" s="6"/>
    </row>
    <row r="63" spans="1:13" ht="12.75">
      <c r="A63" s="5" t="s">
        <v>20</v>
      </c>
      <c r="B63" s="6"/>
      <c r="C63" s="6"/>
      <c r="D63" s="6"/>
      <c r="E63" s="6">
        <f t="shared" si="2"/>
        <v>1167112.8125603963</v>
      </c>
      <c r="F63" s="6"/>
      <c r="G63" s="6"/>
      <c r="H63" s="6">
        <f t="shared" si="3"/>
        <v>780320.5044354573</v>
      </c>
      <c r="I63" s="6"/>
      <c r="J63" s="6">
        <f t="shared" si="4"/>
        <v>0</v>
      </c>
      <c r="K63" s="6">
        <f t="shared" si="1"/>
        <v>629069.5966124358</v>
      </c>
      <c r="L63" s="6"/>
      <c r="M63" s="6"/>
    </row>
    <row r="64" spans="1:13" ht="12.75">
      <c r="A64" s="5" t="s">
        <v>21</v>
      </c>
      <c r="B64" s="6"/>
      <c r="C64" s="6"/>
      <c r="D64" s="6"/>
      <c r="E64" s="6">
        <f t="shared" si="2"/>
        <v>1167112.8125603963</v>
      </c>
      <c r="F64" s="6"/>
      <c r="G64" s="6"/>
      <c r="H64" s="6">
        <f t="shared" si="3"/>
        <v>854202.1812683109</v>
      </c>
      <c r="I64" s="6"/>
      <c r="J64" s="6">
        <f t="shared" si="4"/>
        <v>0</v>
      </c>
      <c r="K64" s="6">
        <f t="shared" si="1"/>
        <v>704695.0505239465</v>
      </c>
      <c r="L64" s="6"/>
      <c r="M64" s="6"/>
    </row>
    <row r="65" spans="1:13" ht="12.75">
      <c r="A65" s="5" t="s">
        <v>22</v>
      </c>
      <c r="B65" s="6"/>
      <c r="C65" s="6"/>
      <c r="D65" s="6"/>
      <c r="E65" s="6">
        <f t="shared" si="2"/>
        <v>1275762.3373145927</v>
      </c>
      <c r="F65" s="6"/>
      <c r="G65" s="6"/>
      <c r="H65" s="6">
        <f t="shared" si="3"/>
        <v>906353.9531503252</v>
      </c>
      <c r="I65" s="6"/>
      <c r="J65" s="6">
        <f t="shared" si="4"/>
        <v>0</v>
      </c>
      <c r="K65" s="6">
        <f t="shared" si="1"/>
        <v>780320.5044354573</v>
      </c>
      <c r="L65" s="6"/>
      <c r="M65" s="6"/>
    </row>
    <row r="66" spans="1:13" ht="12.75">
      <c r="A66" s="5" t="s">
        <v>23</v>
      </c>
      <c r="B66" s="6"/>
      <c r="C66" s="6"/>
      <c r="D66" s="6"/>
      <c r="E66" s="6">
        <f t="shared" si="2"/>
        <v>1275762.3373145927</v>
      </c>
      <c r="F66" s="6"/>
      <c r="G66" s="6"/>
      <c r="H66" s="6">
        <f t="shared" si="3"/>
        <v>997619.5539438502</v>
      </c>
      <c r="I66" s="6"/>
      <c r="J66" s="6">
        <f t="shared" si="4"/>
        <v>0</v>
      </c>
      <c r="K66" s="6">
        <f t="shared" si="1"/>
        <v>854202.1812683109</v>
      </c>
      <c r="L66" s="6"/>
      <c r="M66" s="6"/>
    </row>
    <row r="67" spans="1:13" ht="12.75">
      <c r="A67" s="5" t="s">
        <v>24</v>
      </c>
      <c r="B67" s="6"/>
      <c r="C67" s="6"/>
      <c r="D67" s="6"/>
      <c r="E67" s="6">
        <f t="shared" si="2"/>
        <v>1623440.8165280214</v>
      </c>
      <c r="F67" s="6"/>
      <c r="G67" s="6"/>
      <c r="H67" s="6">
        <f t="shared" si="3"/>
        <v>1088885.1547373752</v>
      </c>
      <c r="I67" s="6"/>
      <c r="J67" s="6">
        <f t="shared" si="4"/>
        <v>0</v>
      </c>
      <c r="K67" s="6">
        <f t="shared" si="1"/>
        <v>906353.9531503252</v>
      </c>
      <c r="L67" s="6"/>
      <c r="M67" s="6"/>
    </row>
    <row r="68" spans="1:13" ht="12.75">
      <c r="A68" s="5" t="s">
        <v>25</v>
      </c>
      <c r="B68" s="6"/>
      <c r="C68" s="6"/>
      <c r="D68" s="6"/>
      <c r="E68" s="6">
        <f t="shared" si="2"/>
        <v>1623440.8165280214</v>
      </c>
      <c r="F68" s="6"/>
      <c r="G68" s="6"/>
      <c r="H68" s="6">
        <f t="shared" si="3"/>
        <v>1262724.3943440896</v>
      </c>
      <c r="I68" s="6"/>
      <c r="J68" s="6">
        <f t="shared" si="4"/>
        <v>0</v>
      </c>
      <c r="K68" s="6">
        <f t="shared" si="1"/>
        <v>997619.5539438502</v>
      </c>
      <c r="L68" s="6"/>
      <c r="M68" s="6"/>
    </row>
    <row r="69" spans="1:13" ht="12.75">
      <c r="A69" s="5" t="s">
        <v>26</v>
      </c>
      <c r="B69" s="6"/>
      <c r="C69" s="6"/>
      <c r="D69" s="6"/>
      <c r="E69" s="6">
        <f t="shared" si="2"/>
        <v>1775550.1511838962</v>
      </c>
      <c r="F69" s="6"/>
      <c r="G69" s="6"/>
      <c r="H69" s="6">
        <f t="shared" si="3"/>
        <v>1327914.1091966075</v>
      </c>
      <c r="I69" s="6"/>
      <c r="J69" s="6">
        <f t="shared" si="4"/>
        <v>0</v>
      </c>
      <c r="K69" s="6">
        <f t="shared" si="1"/>
        <v>1088885.1547373752</v>
      </c>
      <c r="L69" s="6"/>
      <c r="M69" s="6"/>
    </row>
    <row r="70" spans="1:13" ht="12.75">
      <c r="A70" s="5" t="s">
        <v>27</v>
      </c>
      <c r="B70" s="6"/>
      <c r="C70" s="6"/>
      <c r="D70" s="6"/>
      <c r="E70" s="6">
        <f t="shared" si="2"/>
        <v>1775550.1511838962</v>
      </c>
      <c r="F70" s="6"/>
      <c r="G70" s="6"/>
      <c r="H70" s="6">
        <f t="shared" si="3"/>
        <v>1386584.8525638736</v>
      </c>
      <c r="I70" s="6"/>
      <c r="J70" s="6">
        <f t="shared" si="4"/>
        <v>0</v>
      </c>
      <c r="K70" s="6">
        <f t="shared" si="1"/>
        <v>1262724.3943440896</v>
      </c>
      <c r="L70" s="6"/>
      <c r="M70" s="6"/>
    </row>
    <row r="71" spans="1:13" ht="12.75">
      <c r="A71" s="5" t="s">
        <v>28</v>
      </c>
      <c r="E71" s="6">
        <f t="shared" si="2"/>
        <v>1775550.1511838962</v>
      </c>
      <c r="G71" s="6"/>
      <c r="H71" s="6">
        <f aca="true" t="shared" si="5" ref="H71:H86">H70+H28</f>
        <v>1445255.5959311398</v>
      </c>
      <c r="I71" s="6"/>
      <c r="J71" s="6">
        <f t="shared" si="4"/>
        <v>0</v>
      </c>
      <c r="K71" s="6">
        <f t="shared" si="4"/>
        <v>1327914.1091966075</v>
      </c>
      <c r="L71" s="6"/>
      <c r="M71" s="6"/>
    </row>
    <row r="72" spans="1:13" ht="12.75">
      <c r="A72" s="5" t="s">
        <v>29</v>
      </c>
      <c r="E72" s="6">
        <f t="shared" si="2"/>
        <v>2188418.345249843</v>
      </c>
      <c r="G72" s="6"/>
      <c r="H72" s="6">
        <f t="shared" si="5"/>
        <v>1565856.5684082978</v>
      </c>
      <c r="I72" s="6"/>
      <c r="J72" s="6">
        <f t="shared" si="4"/>
        <v>0</v>
      </c>
      <c r="K72" s="6">
        <f t="shared" si="4"/>
        <v>1386584.8525638736</v>
      </c>
      <c r="L72" s="6"/>
      <c r="M72" s="6"/>
    </row>
    <row r="73" spans="1:13" ht="12.75">
      <c r="A73" s="5" t="s">
        <v>30</v>
      </c>
      <c r="E73" s="6">
        <f t="shared" si="2"/>
        <v>2188418.345249843</v>
      </c>
      <c r="G73" s="6"/>
      <c r="H73" s="6">
        <f t="shared" si="5"/>
        <v>1654949.1787067389</v>
      </c>
      <c r="I73" s="6"/>
      <c r="J73" s="6">
        <f t="shared" si="4"/>
        <v>0</v>
      </c>
      <c r="K73" s="6">
        <f t="shared" si="4"/>
        <v>1445255.5959311398</v>
      </c>
      <c r="L73" s="6"/>
      <c r="M73" s="6"/>
    </row>
    <row r="74" spans="1:13" ht="12.75">
      <c r="A74" s="5" t="s">
        <v>31</v>
      </c>
      <c r="E74" s="6">
        <f t="shared" si="2"/>
        <v>2188418.345249843</v>
      </c>
      <c r="G74" s="6"/>
      <c r="H74" s="6">
        <f t="shared" si="5"/>
        <v>1737522.817519928</v>
      </c>
      <c r="I74" s="6"/>
      <c r="J74" s="6">
        <f t="shared" si="4"/>
        <v>0</v>
      </c>
      <c r="K74" s="6">
        <f t="shared" si="4"/>
        <v>1565856.5684082978</v>
      </c>
      <c r="L74" s="6"/>
      <c r="M74" s="6"/>
    </row>
    <row r="75" spans="1:13" ht="12.75">
      <c r="A75" s="5" t="s">
        <v>32</v>
      </c>
      <c r="E75" s="6">
        <f t="shared" si="2"/>
        <v>2693649.511573092</v>
      </c>
      <c r="G75" s="6"/>
      <c r="H75" s="6">
        <f t="shared" si="5"/>
        <v>1877138.544450694</v>
      </c>
      <c r="I75" s="6"/>
      <c r="J75" s="6">
        <f t="shared" si="4"/>
        <v>0</v>
      </c>
      <c r="K75" s="6">
        <f t="shared" si="4"/>
        <v>1654949.1787067389</v>
      </c>
      <c r="L75" s="6"/>
      <c r="M75" s="6"/>
    </row>
    <row r="76" spans="1:13" ht="12.75">
      <c r="A76" s="5" t="s">
        <v>33</v>
      </c>
      <c r="E76" s="6">
        <f t="shared" si="2"/>
        <v>2693649.511573092</v>
      </c>
      <c r="G76" s="6"/>
      <c r="H76" s="6">
        <f t="shared" si="5"/>
        <v>2006975.8141535823</v>
      </c>
      <c r="I76" s="6"/>
      <c r="J76" s="6">
        <f t="shared" si="4"/>
        <v>0</v>
      </c>
      <c r="K76" s="6">
        <f t="shared" si="4"/>
        <v>1737522.817519928</v>
      </c>
      <c r="L76" s="6"/>
      <c r="M76" s="6"/>
    </row>
    <row r="77" spans="1:13" ht="12.75">
      <c r="A77" s="5" t="s">
        <v>34</v>
      </c>
      <c r="E77" s="6">
        <f t="shared" si="2"/>
        <v>2693649.511573092</v>
      </c>
      <c r="G77" s="6"/>
      <c r="H77" s="6">
        <f t="shared" si="5"/>
        <v>2098785.750192502</v>
      </c>
      <c r="I77" s="6"/>
      <c r="J77" s="6">
        <f t="shared" si="4"/>
        <v>0</v>
      </c>
      <c r="K77" s="6">
        <f t="shared" si="4"/>
        <v>1877138.544450694</v>
      </c>
      <c r="L77" s="6"/>
      <c r="M77" s="6"/>
    </row>
    <row r="78" spans="1:13" ht="12.75">
      <c r="A78" s="5" t="s">
        <v>35</v>
      </c>
      <c r="E78" s="6">
        <f t="shared" si="2"/>
        <v>2693649.511573092</v>
      </c>
      <c r="G78" s="6"/>
      <c r="H78" s="6">
        <f t="shared" si="5"/>
        <v>2190595.686231422</v>
      </c>
      <c r="I78" s="6"/>
      <c r="J78" s="6">
        <f t="shared" si="4"/>
        <v>0</v>
      </c>
      <c r="K78" s="6">
        <f t="shared" si="4"/>
        <v>2006975.8141535823</v>
      </c>
      <c r="L78" s="6"/>
      <c r="M78" s="6"/>
    </row>
    <row r="79" spans="1:13" ht="12.75">
      <c r="A79" s="5" t="s">
        <v>36</v>
      </c>
      <c r="E79" s="6">
        <f t="shared" si="2"/>
        <v>2693649.511573092</v>
      </c>
      <c r="G79" s="6"/>
      <c r="H79" s="6">
        <f t="shared" si="5"/>
        <v>2282405.6222703415</v>
      </c>
      <c r="I79" s="6"/>
      <c r="J79" s="6">
        <f t="shared" si="4"/>
        <v>0</v>
      </c>
      <c r="K79" s="6">
        <f t="shared" si="4"/>
        <v>2098785.750192502</v>
      </c>
      <c r="L79" s="6"/>
      <c r="M79" s="6"/>
    </row>
    <row r="80" spans="1:13" ht="12.75">
      <c r="A80" s="5" t="s">
        <v>37</v>
      </c>
      <c r="E80" s="6">
        <f t="shared" si="2"/>
        <v>2693649.511573092</v>
      </c>
      <c r="G80" s="6"/>
      <c r="H80" s="6">
        <f t="shared" si="5"/>
        <v>2412242.8919732296</v>
      </c>
      <c r="I80" s="6"/>
      <c r="J80" s="6">
        <f t="shared" si="4"/>
        <v>0</v>
      </c>
      <c r="K80" s="6">
        <f t="shared" si="4"/>
        <v>2190595.686231422</v>
      </c>
      <c r="L80" s="6"/>
      <c r="M80" s="6"/>
    </row>
    <row r="81" spans="1:13" ht="12.75">
      <c r="A81" s="5" t="s">
        <v>38</v>
      </c>
      <c r="E81" s="6">
        <f t="shared" si="2"/>
        <v>2693649.511573092</v>
      </c>
      <c r="G81" s="6"/>
      <c r="H81" s="6">
        <f t="shared" si="5"/>
        <v>2504052.8280121493</v>
      </c>
      <c r="I81" s="6"/>
      <c r="J81" s="6">
        <f t="shared" si="4"/>
        <v>0</v>
      </c>
      <c r="K81" s="6">
        <f t="shared" si="4"/>
        <v>2282405.6222703415</v>
      </c>
      <c r="L81" s="6"/>
      <c r="M81" s="6"/>
    </row>
    <row r="82" spans="1:13" ht="12.75">
      <c r="A82" s="5" t="s">
        <v>39</v>
      </c>
      <c r="E82" s="6">
        <f t="shared" si="2"/>
        <v>2693649.511573092</v>
      </c>
      <c r="G82" s="6"/>
      <c r="H82" s="6">
        <f t="shared" si="5"/>
        <v>2554575.9446444744</v>
      </c>
      <c r="I82" s="6"/>
      <c r="J82" s="6">
        <f t="shared" si="4"/>
        <v>0</v>
      </c>
      <c r="K82" s="6">
        <f t="shared" si="4"/>
        <v>2412242.8919732296</v>
      </c>
      <c r="L82" s="6"/>
      <c r="M82" s="6"/>
    </row>
    <row r="83" spans="1:13" ht="12.75">
      <c r="A83" s="5" t="s">
        <v>40</v>
      </c>
      <c r="E83" s="6">
        <f t="shared" si="2"/>
        <v>2693649.511573092</v>
      </c>
      <c r="G83" s="6"/>
      <c r="H83" s="6">
        <f t="shared" si="5"/>
        <v>2605099.0612767995</v>
      </c>
      <c r="I83" s="6"/>
      <c r="J83" s="6">
        <f t="shared" si="4"/>
        <v>0</v>
      </c>
      <c r="K83" s="6">
        <f t="shared" si="4"/>
        <v>2504052.8280121493</v>
      </c>
      <c r="L83" s="6"/>
      <c r="M83" s="6"/>
    </row>
    <row r="84" spans="1:13" ht="12.75">
      <c r="A84" s="5" t="s">
        <v>41</v>
      </c>
      <c r="E84" s="6">
        <f t="shared" si="2"/>
        <v>2693649.511573092</v>
      </c>
      <c r="G84" s="6"/>
      <c r="H84" s="6">
        <f t="shared" si="5"/>
        <v>2693649.511573093</v>
      </c>
      <c r="I84" s="6"/>
      <c r="J84" s="6">
        <f t="shared" si="4"/>
        <v>0</v>
      </c>
      <c r="K84" s="6">
        <f t="shared" si="4"/>
        <v>2554575.9446444744</v>
      </c>
      <c r="L84" s="6"/>
      <c r="M84" s="6"/>
    </row>
    <row r="85" spans="1:13" ht="12.75">
      <c r="A85" s="5" t="s">
        <v>42</v>
      </c>
      <c r="E85" s="6">
        <f t="shared" si="2"/>
        <v>2693649.511573092</v>
      </c>
      <c r="G85" s="6"/>
      <c r="H85" s="6">
        <f t="shared" si="5"/>
        <v>2693649.511573093</v>
      </c>
      <c r="I85" s="6"/>
      <c r="J85" s="6">
        <f t="shared" si="4"/>
        <v>0</v>
      </c>
      <c r="K85" s="6">
        <f t="shared" si="4"/>
        <v>2605099.0612767995</v>
      </c>
      <c r="L85" s="6"/>
      <c r="M85" s="6"/>
    </row>
    <row r="86" spans="1:13" ht="12.75">
      <c r="A86" s="5" t="s">
        <v>43</v>
      </c>
      <c r="E86" s="6">
        <f t="shared" si="2"/>
        <v>2693649.511573092</v>
      </c>
      <c r="G86" s="6"/>
      <c r="H86" s="6">
        <f t="shared" si="5"/>
        <v>2693649.511573093</v>
      </c>
      <c r="I86" s="6"/>
      <c r="J86" s="6">
        <f t="shared" si="4"/>
        <v>0</v>
      </c>
      <c r="K86" s="6">
        <f t="shared" si="4"/>
        <v>2693649.511573093</v>
      </c>
      <c r="L86" s="6"/>
      <c r="M86" s="6"/>
    </row>
    <row r="88" ht="12.75">
      <c r="F88" s="6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O58"/>
  <sheetViews>
    <sheetView view="pageBreakPreview" zoomScaleNormal="85" zoomScaleSheetLayoutView="100" workbookViewId="0" topLeftCell="A13">
      <selection activeCell="H17" sqref="H17"/>
    </sheetView>
  </sheetViews>
  <sheetFormatPr defaultColWidth="9.140625" defaultRowHeight="12.75"/>
  <cols>
    <col min="1" max="1" width="20.28125" style="0" customWidth="1"/>
    <col min="2" max="2" width="13.00390625" style="0" bestFit="1" customWidth="1"/>
    <col min="3" max="3" width="15.421875" style="0" customWidth="1"/>
    <col min="4" max="4" width="15.00390625" style="0" customWidth="1"/>
    <col min="5" max="6" width="15.28125" style="0" customWidth="1"/>
    <col min="7" max="7" width="11.421875" style="0" bestFit="1" customWidth="1"/>
    <col min="8" max="9" width="11.421875" style="0" customWidth="1"/>
    <col min="10" max="10" width="12.8515625" style="0" customWidth="1"/>
    <col min="11" max="12" width="13.28125" style="0" customWidth="1"/>
    <col min="13" max="13" width="13.00390625" style="0" bestFit="1" customWidth="1"/>
    <col min="14" max="14" width="15.140625" style="0" customWidth="1"/>
    <col min="15" max="15" width="13.421875" style="0" bestFit="1" customWidth="1"/>
  </cols>
  <sheetData>
    <row r="2" spans="1:15" ht="50.25" customHeight="1">
      <c r="A2" s="139" t="s">
        <v>155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75"/>
      <c r="O2" s="76"/>
    </row>
    <row r="3" ht="15.75">
      <c r="A3" s="25"/>
    </row>
    <row r="4" spans="1:12" ht="15.75">
      <c r="A4" s="25" t="s">
        <v>154</v>
      </c>
      <c r="G4" s="25" t="s">
        <v>114</v>
      </c>
      <c r="K4" s="25"/>
      <c r="L4" s="25"/>
    </row>
    <row r="5" spans="1:12" ht="15.75">
      <c r="A5" t="s">
        <v>158</v>
      </c>
      <c r="B5" s="26">
        <f>H13</f>
        <v>1763550.25</v>
      </c>
      <c r="J5" s="25"/>
      <c r="K5" s="25"/>
      <c r="L5" s="25"/>
    </row>
    <row r="6" spans="1:2" ht="12.75">
      <c r="A6" t="s">
        <v>157</v>
      </c>
      <c r="B6" s="26">
        <f>'Priority Axis 1'!B6</f>
        <v>1750000.0000000002</v>
      </c>
    </row>
    <row r="7" spans="1:12" ht="12.75">
      <c r="A7" s="137" t="s">
        <v>0</v>
      </c>
      <c r="B7" s="138"/>
      <c r="C7" s="138"/>
      <c r="D7" s="71"/>
      <c r="E7" s="70"/>
      <c r="F7" s="70"/>
      <c r="G7" s="31" t="s">
        <v>55</v>
      </c>
      <c r="H7" s="32"/>
      <c r="I7" s="32"/>
      <c r="J7" s="42"/>
      <c r="K7" s="125"/>
      <c r="L7" s="16"/>
    </row>
    <row r="8" spans="1:10" ht="82.5" customHeight="1">
      <c r="A8" s="86" t="s">
        <v>1</v>
      </c>
      <c r="B8" s="85" t="s">
        <v>127</v>
      </c>
      <c r="C8" s="85" t="s">
        <v>178</v>
      </c>
      <c r="D8" s="85" t="s">
        <v>156</v>
      </c>
      <c r="E8" s="16"/>
      <c r="F8" s="16"/>
      <c r="G8" s="33"/>
      <c r="H8" s="34" t="s">
        <v>56</v>
      </c>
      <c r="I8" s="35" t="s">
        <v>149</v>
      </c>
      <c r="J8" s="36" t="s">
        <v>45</v>
      </c>
    </row>
    <row r="9" spans="1:10" ht="15.75">
      <c r="A9" s="21"/>
      <c r="B9" s="22"/>
      <c r="C9" s="27"/>
      <c r="D9" s="30"/>
      <c r="E9" s="16"/>
      <c r="F9" s="16"/>
      <c r="G9" s="51" t="s">
        <v>104</v>
      </c>
      <c r="H9" s="52">
        <f>7365000*0.85</f>
        <v>6260250</v>
      </c>
      <c r="I9" s="53">
        <f>H9/$H$14</f>
        <v>0.25040999749590004</v>
      </c>
      <c r="J9" s="54">
        <f>I9*$B$6</f>
        <v>438217.49561782513</v>
      </c>
    </row>
    <row r="10" spans="1:10" ht="12.75">
      <c r="A10" s="2">
        <v>2007</v>
      </c>
      <c r="B10" s="23">
        <v>3512400</v>
      </c>
      <c r="C10" s="28">
        <f aca="true" t="shared" si="0" ref="C10:C16">B10/$B$17</f>
        <v>0.07272574730188078</v>
      </c>
      <c r="D10" s="9">
        <f aca="true" t="shared" si="1" ref="D10:D16">C10*$B$5</f>
        <v>128255.50983566866</v>
      </c>
      <c r="E10" s="16"/>
      <c r="F10" s="16"/>
      <c r="G10" s="51" t="s">
        <v>105</v>
      </c>
      <c r="H10" s="38">
        <f>8461000*0.85</f>
        <v>7191850</v>
      </c>
      <c r="I10" s="39">
        <f>H10/$H$14</f>
        <v>0.28767399712326003</v>
      </c>
      <c r="J10" s="43">
        <f>I10*$B$6</f>
        <v>503429.4949657051</v>
      </c>
    </row>
    <row r="11" spans="1:10" ht="12.75">
      <c r="A11" s="2">
        <v>2008</v>
      </c>
      <c r="B11" s="23">
        <v>5141700</v>
      </c>
      <c r="C11" s="28">
        <f t="shared" si="0"/>
        <v>0.10646110206755506</v>
      </c>
      <c r="D11" s="9">
        <f t="shared" si="1"/>
        <v>187749.50316651224</v>
      </c>
      <c r="E11" s="16"/>
      <c r="F11" s="16"/>
      <c r="G11" s="51" t="s">
        <v>106</v>
      </c>
      <c r="H11" s="59">
        <f>8342000*0.85</f>
        <v>7090700</v>
      </c>
      <c r="I11" s="60">
        <f>H11/$H$14</f>
        <v>0.28362799716372</v>
      </c>
      <c r="J11" s="43">
        <f>I11*$B$6</f>
        <v>496348.99503651005</v>
      </c>
    </row>
    <row r="12" spans="1:10" ht="12.75">
      <c r="A12" s="2">
        <v>2009</v>
      </c>
      <c r="B12" s="23">
        <v>7001019</v>
      </c>
      <c r="C12" s="28">
        <f t="shared" si="0"/>
        <v>0.1449590988069884</v>
      </c>
      <c r="D12" s="9">
        <f t="shared" si="1"/>
        <v>255642.6549408391</v>
      </c>
      <c r="E12" s="16"/>
      <c r="F12" s="16"/>
      <c r="G12" s="51" t="s">
        <v>107</v>
      </c>
      <c r="H12" s="59">
        <f>0.85*3169000</f>
        <v>2693650</v>
      </c>
      <c r="I12" s="60">
        <f>H12/$H$14</f>
        <v>0.10774599892254001</v>
      </c>
      <c r="J12" s="54">
        <f>I12*$B$6</f>
        <v>188555.49811444504</v>
      </c>
    </row>
    <row r="13" spans="1:10" ht="12.75">
      <c r="A13" s="2">
        <v>2010</v>
      </c>
      <c r="B13" s="23">
        <v>7377256</v>
      </c>
      <c r="C13" s="28">
        <f t="shared" si="0"/>
        <v>0.1527492471350882</v>
      </c>
      <c r="D13" s="9">
        <f t="shared" si="1"/>
        <v>269380.9729723966</v>
      </c>
      <c r="E13" s="16"/>
      <c r="F13" s="16"/>
      <c r="G13" s="47" t="s">
        <v>108</v>
      </c>
      <c r="H13" s="55">
        <f>0.85*2074765</f>
        <v>1763550.25</v>
      </c>
      <c r="I13" s="56">
        <f>H13/$H$14</f>
        <v>0.0705420092945799</v>
      </c>
      <c r="J13" s="50">
        <f>I13*$B$6</f>
        <v>123448.51626551485</v>
      </c>
    </row>
    <row r="14" spans="1:10" ht="12.75">
      <c r="A14" s="2">
        <v>2011</v>
      </c>
      <c r="B14" s="23">
        <v>7898065</v>
      </c>
      <c r="C14" s="28">
        <f t="shared" si="0"/>
        <v>0.16353282068210598</v>
      </c>
      <c r="D14" s="9">
        <f t="shared" si="1"/>
        <v>288398.34679713316</v>
      </c>
      <c r="E14" s="16"/>
      <c r="F14" s="16"/>
      <c r="G14" s="33" t="s">
        <v>46</v>
      </c>
      <c r="H14" s="40">
        <f>SUM(H9:H13)</f>
        <v>25000000.25</v>
      </c>
      <c r="I14" s="41"/>
      <c r="J14" s="44">
        <f>SUM(J9:J13)</f>
        <v>1750000</v>
      </c>
    </row>
    <row r="15" spans="1:6" ht="12.75">
      <c r="A15" s="2">
        <v>2012</v>
      </c>
      <c r="B15" s="23">
        <v>8421780</v>
      </c>
      <c r="C15" s="28">
        <f t="shared" si="0"/>
        <v>0.17437656420454206</v>
      </c>
      <c r="D15" s="9">
        <f t="shared" si="1"/>
        <v>307521.8333970612</v>
      </c>
      <c r="E15" s="16"/>
      <c r="F15" s="16"/>
    </row>
    <row r="16" spans="1:6" ht="12.75">
      <c r="A16" s="2">
        <v>2013</v>
      </c>
      <c r="B16" s="23">
        <v>8944293</v>
      </c>
      <c r="C16" s="28">
        <f t="shared" si="0"/>
        <v>0.1851954198018395</v>
      </c>
      <c r="D16" s="9">
        <f t="shared" si="1"/>
        <v>326601.42889038904</v>
      </c>
      <c r="E16" s="16"/>
      <c r="F16" s="16"/>
    </row>
    <row r="17" spans="1:6" ht="12.75">
      <c r="A17" s="3" t="s">
        <v>3</v>
      </c>
      <c r="B17" s="24">
        <f>SUM(B10:B16)</f>
        <v>48296513</v>
      </c>
      <c r="C17" s="29"/>
      <c r="D17" s="10">
        <f>SUM(D10:D16)</f>
        <v>1763550.25</v>
      </c>
      <c r="E17" s="16"/>
      <c r="F17" s="16"/>
    </row>
    <row r="20" ht="15.75">
      <c r="A20" s="25" t="s">
        <v>153</v>
      </c>
    </row>
    <row r="21" spans="1:13" ht="51">
      <c r="A21" s="77" t="s">
        <v>4</v>
      </c>
      <c r="B21" s="78" t="s">
        <v>5</v>
      </c>
      <c r="C21" s="78" t="s">
        <v>6</v>
      </c>
      <c r="D21" s="78" t="s">
        <v>7</v>
      </c>
      <c r="E21" s="119" t="s">
        <v>182</v>
      </c>
      <c r="F21" s="119" t="s">
        <v>139</v>
      </c>
      <c r="G21" s="119" t="s">
        <v>138</v>
      </c>
      <c r="H21" s="119" t="s">
        <v>141</v>
      </c>
      <c r="I21" s="119" t="s">
        <v>142</v>
      </c>
      <c r="J21" s="119" t="s">
        <v>147</v>
      </c>
      <c r="K21" s="119" t="s">
        <v>145</v>
      </c>
      <c r="L21" s="119" t="s">
        <v>146</v>
      </c>
      <c r="M21" s="119" t="s">
        <v>144</v>
      </c>
    </row>
    <row r="22" spans="1:13" ht="12.75">
      <c r="A22" s="71"/>
      <c r="B22" s="79"/>
      <c r="C22" s="79"/>
      <c r="D22" s="79"/>
      <c r="E22" s="80"/>
      <c r="F22" s="80"/>
      <c r="G22" s="81"/>
      <c r="H22" s="81"/>
      <c r="I22" s="81"/>
      <c r="J22" s="81"/>
      <c r="K22" s="81"/>
      <c r="L22" s="81"/>
      <c r="M22" s="81"/>
    </row>
    <row r="23" spans="1:13" ht="12.75">
      <c r="A23" s="82" t="s">
        <v>8</v>
      </c>
      <c r="B23" s="83">
        <v>0</v>
      </c>
      <c r="C23" s="83">
        <v>0</v>
      </c>
      <c r="D23" s="83">
        <v>0</v>
      </c>
      <c r="E23" s="80">
        <v>0</v>
      </c>
      <c r="F23" s="80"/>
      <c r="G23" s="81">
        <f>'[1]Call AA'!E51</f>
        <v>0</v>
      </c>
      <c r="H23" s="81">
        <v>0</v>
      </c>
      <c r="I23" s="81"/>
      <c r="J23" s="81">
        <f>'[1]Call AA'!F51</f>
        <v>0</v>
      </c>
      <c r="K23" s="81">
        <v>0</v>
      </c>
      <c r="L23" s="81"/>
      <c r="M23" s="81">
        <f>'[1]Call AA'!G51</f>
        <v>0</v>
      </c>
    </row>
    <row r="24" spans="1:13" ht="12.75">
      <c r="A24" s="82" t="s">
        <v>9</v>
      </c>
      <c r="B24" s="83">
        <v>0</v>
      </c>
      <c r="C24" s="83">
        <v>0</v>
      </c>
      <c r="D24" s="83">
        <v>0</v>
      </c>
      <c r="E24" s="80">
        <v>0</v>
      </c>
      <c r="F24" s="80"/>
      <c r="G24" s="81">
        <f>'[1]Call AA'!E52</f>
        <v>0</v>
      </c>
      <c r="H24" s="81">
        <v>0</v>
      </c>
      <c r="I24" s="81"/>
      <c r="J24" s="81">
        <f>'[1]Call AA'!F52</f>
        <v>0</v>
      </c>
      <c r="K24" s="81">
        <v>0</v>
      </c>
      <c r="L24" s="81"/>
      <c r="M24" s="81">
        <f>'[1]Call AA'!G52</f>
        <v>0</v>
      </c>
    </row>
    <row r="25" spans="1:13" ht="12.75">
      <c r="A25" s="82" t="s">
        <v>10</v>
      </c>
      <c r="B25" s="83">
        <v>0</v>
      </c>
      <c r="C25" s="83">
        <v>0</v>
      </c>
      <c r="D25" s="83">
        <v>0</v>
      </c>
      <c r="E25" s="80">
        <v>0</v>
      </c>
      <c r="F25" s="80"/>
      <c r="G25" s="81">
        <f>'[1]Call AA'!E53</f>
        <v>0</v>
      </c>
      <c r="H25" s="81">
        <v>0</v>
      </c>
      <c r="I25" s="81"/>
      <c r="J25" s="81">
        <f>'[1]Call AA'!F53</f>
        <v>0</v>
      </c>
      <c r="K25" s="81">
        <v>0</v>
      </c>
      <c r="L25" s="81"/>
      <c r="M25" s="81">
        <f>'[1]Call AA'!G53</f>
        <v>0</v>
      </c>
    </row>
    <row r="26" spans="1:13" ht="12.75">
      <c r="A26" s="82" t="s">
        <v>11</v>
      </c>
      <c r="B26" s="83">
        <f>D10</f>
        <v>128255.50983566866</v>
      </c>
      <c r="C26" s="83">
        <v>0</v>
      </c>
      <c r="D26" s="83">
        <v>0</v>
      </c>
      <c r="E26" s="80">
        <v>0</v>
      </c>
      <c r="F26" s="80"/>
      <c r="G26" s="81">
        <f>'[1]Call AA'!E54</f>
        <v>0</v>
      </c>
      <c r="H26" s="81">
        <v>0</v>
      </c>
      <c r="I26" s="81"/>
      <c r="J26" s="81">
        <f>'[1]Call AA'!F54</f>
        <v>0</v>
      </c>
      <c r="K26" s="81">
        <v>0</v>
      </c>
      <c r="L26" s="81"/>
      <c r="M26" s="81">
        <f>'[1]Call AA'!G54</f>
        <v>0</v>
      </c>
    </row>
    <row r="27" spans="1:13" ht="12.75">
      <c r="A27" s="82" t="s">
        <v>12</v>
      </c>
      <c r="B27" s="83">
        <f>B26+D11</f>
        <v>316005.0130021809</v>
      </c>
      <c r="C27" s="83">
        <v>0</v>
      </c>
      <c r="D27" s="83">
        <v>0</v>
      </c>
      <c r="E27" s="84">
        <v>0</v>
      </c>
      <c r="F27" s="84"/>
      <c r="G27" s="81">
        <v>0</v>
      </c>
      <c r="H27" s="81">
        <v>0</v>
      </c>
      <c r="I27" s="81"/>
      <c r="J27" s="81">
        <v>0</v>
      </c>
      <c r="K27" s="81">
        <v>0</v>
      </c>
      <c r="L27" s="81"/>
      <c r="M27" s="81">
        <v>0</v>
      </c>
    </row>
    <row r="28" spans="1:13" ht="12.75">
      <c r="A28" s="82" t="s">
        <v>13</v>
      </c>
      <c r="B28" s="83">
        <f>B27</f>
        <v>316005.0130021809</v>
      </c>
      <c r="C28" s="83">
        <v>0</v>
      </c>
      <c r="D28" s="83">
        <v>0</v>
      </c>
      <c r="E28" s="84">
        <v>0</v>
      </c>
      <c r="F28" s="84"/>
      <c r="G28" s="81">
        <v>0</v>
      </c>
      <c r="H28" s="81">
        <v>0</v>
      </c>
      <c r="I28" s="81"/>
      <c r="J28" s="81">
        <v>0</v>
      </c>
      <c r="K28" s="81">
        <v>0</v>
      </c>
      <c r="L28" s="81"/>
      <c r="M28" s="81">
        <v>0</v>
      </c>
    </row>
    <row r="29" spans="1:13" ht="12.75">
      <c r="A29" s="82" t="s">
        <v>14</v>
      </c>
      <c r="B29" s="83">
        <f>B28</f>
        <v>316005.0130021809</v>
      </c>
      <c r="C29" s="83">
        <v>0</v>
      </c>
      <c r="D29" s="83">
        <v>0</v>
      </c>
      <c r="E29" s="84">
        <f>'Call RLA'!E57</f>
        <v>986458.1533159835</v>
      </c>
      <c r="F29" s="84"/>
      <c r="G29" s="81">
        <f>'Call RLA'!G57</f>
        <v>0</v>
      </c>
      <c r="H29" s="81">
        <v>0</v>
      </c>
      <c r="I29" s="81"/>
      <c r="J29" s="81">
        <v>0</v>
      </c>
      <c r="K29" s="81">
        <v>0</v>
      </c>
      <c r="L29" s="81"/>
      <c r="M29" s="81">
        <v>0</v>
      </c>
    </row>
    <row r="30" spans="1:13" ht="12.75">
      <c r="A30" s="82" t="s">
        <v>15</v>
      </c>
      <c r="B30" s="83">
        <f>B29</f>
        <v>316005.0130021809</v>
      </c>
      <c r="C30" s="83">
        <v>0</v>
      </c>
      <c r="D30" s="83">
        <v>0</v>
      </c>
      <c r="E30" s="84">
        <f>'Call RLA'!E58</f>
        <v>986458.1533159835</v>
      </c>
      <c r="F30" s="84"/>
      <c r="G30" s="81">
        <f>'Call RLA'!G58</f>
        <v>0</v>
      </c>
      <c r="H30" s="81">
        <f>'Call RLA'!H58</f>
        <v>147968.7229973975</v>
      </c>
      <c r="I30" s="81"/>
      <c r="J30" s="81">
        <f>'Call RLA'!J58</f>
        <v>0</v>
      </c>
      <c r="K30" s="81">
        <v>0</v>
      </c>
      <c r="L30" s="81"/>
      <c r="M30" s="81">
        <v>0</v>
      </c>
    </row>
    <row r="31" spans="1:13" ht="12.75">
      <c r="A31" s="82" t="s">
        <v>16</v>
      </c>
      <c r="B31" s="83">
        <f>B30+D12</f>
        <v>571647.66794302</v>
      </c>
      <c r="C31" s="83">
        <v>0</v>
      </c>
      <c r="D31" s="83">
        <v>0</v>
      </c>
      <c r="E31" s="84">
        <f>'Call RLA'!E59</f>
        <v>986458.1533159835</v>
      </c>
      <c r="F31" s="84"/>
      <c r="G31" s="81">
        <f>'Call RLA'!G59</f>
        <v>0</v>
      </c>
      <c r="H31" s="81">
        <f>'Call RLA'!H59</f>
        <v>295937.445994795</v>
      </c>
      <c r="I31" s="81"/>
      <c r="J31" s="81">
        <f>'Call RLA'!J59</f>
        <v>0</v>
      </c>
      <c r="K31" s="81">
        <f>'Call RLA'!K58</f>
        <v>0</v>
      </c>
      <c r="L31" s="81"/>
      <c r="M31" s="81">
        <f>'Call RLA'!M58</f>
        <v>0</v>
      </c>
    </row>
    <row r="32" spans="1:13" ht="12.75">
      <c r="A32" s="82" t="s">
        <v>17</v>
      </c>
      <c r="B32" s="83">
        <f>B31</f>
        <v>571647.66794302</v>
      </c>
      <c r="C32" s="83">
        <v>0</v>
      </c>
      <c r="D32" s="83">
        <v>0</v>
      </c>
      <c r="E32" s="84">
        <f>'Call RLA'!E60</f>
        <v>986458.1533159835</v>
      </c>
      <c r="F32" s="84"/>
      <c r="G32" s="81">
        <f>'Call RLA'!G60</f>
        <v>0</v>
      </c>
      <c r="H32" s="81">
        <f>'Call RLA'!H60</f>
        <v>394583.26132639335</v>
      </c>
      <c r="I32" s="81"/>
      <c r="J32" s="81">
        <f>'Call RLA'!J60</f>
        <v>0</v>
      </c>
      <c r="K32" s="81">
        <f>'Call RLA'!K60</f>
        <v>147968.7229973975</v>
      </c>
      <c r="L32" s="81"/>
      <c r="M32" s="81">
        <f>'Call RLA'!M60</f>
        <v>0</v>
      </c>
    </row>
    <row r="33" spans="1:13" ht="12.75">
      <c r="A33" s="82" t="s">
        <v>18</v>
      </c>
      <c r="B33" s="83">
        <f>B32</f>
        <v>571647.66794302</v>
      </c>
      <c r="C33" s="83">
        <v>0</v>
      </c>
      <c r="D33" s="83">
        <v>0</v>
      </c>
      <c r="E33" s="84">
        <f>'Call RLA'!E61</f>
        <v>986458.1533159835</v>
      </c>
      <c r="F33" s="84"/>
      <c r="G33" s="81">
        <f>'Call RLA'!G61</f>
        <v>0</v>
      </c>
      <c r="H33" s="81">
        <f>'Call RLA'!H61</f>
        <v>493229.0766579917</v>
      </c>
      <c r="I33" s="81"/>
      <c r="J33" s="81">
        <f>'Call RLA'!J61</f>
        <v>0</v>
      </c>
      <c r="K33" s="81">
        <f>'Call RLA'!K61</f>
        <v>295937.445994795</v>
      </c>
      <c r="L33" s="81"/>
      <c r="M33" s="81">
        <f>'Call RLA'!M61</f>
        <v>0</v>
      </c>
    </row>
    <row r="34" spans="1:13" ht="12.75">
      <c r="A34" s="82" t="s">
        <v>19</v>
      </c>
      <c r="B34" s="83">
        <f>B33</f>
        <v>571647.66794302</v>
      </c>
      <c r="C34" s="83">
        <v>0</v>
      </c>
      <c r="D34" s="83">
        <v>0</v>
      </c>
      <c r="E34" s="84">
        <f>'Call RLA'!E62</f>
        <v>986458.1533159835</v>
      </c>
      <c r="F34" s="84"/>
      <c r="G34" s="81">
        <f>'Call RLA'!G62</f>
        <v>0</v>
      </c>
      <c r="H34" s="81">
        <f>'Call RLA'!H62</f>
        <v>591874.89198959</v>
      </c>
      <c r="I34" s="81"/>
      <c r="J34" s="81">
        <f>'Call RLA'!J62</f>
        <v>0</v>
      </c>
      <c r="K34" s="81">
        <f>'Call RLA'!K62</f>
        <v>394583.26132639335</v>
      </c>
      <c r="L34" s="81"/>
      <c r="M34" s="81">
        <f>'Call RLA'!M62</f>
        <v>0</v>
      </c>
    </row>
    <row r="35" spans="1:13" ht="12.75">
      <c r="A35" s="82" t="s">
        <v>20</v>
      </c>
      <c r="B35" s="83">
        <f>B34+D13</f>
        <v>841028.6409154166</v>
      </c>
      <c r="C35" s="83">
        <v>0</v>
      </c>
      <c r="D35" s="83">
        <v>0</v>
      </c>
      <c r="E35" s="84">
        <f>'Call RLA'!E63</f>
        <v>986458.1533159835</v>
      </c>
      <c r="F35" s="84"/>
      <c r="G35" s="81">
        <f>'Call RLA'!G63</f>
        <v>0</v>
      </c>
      <c r="H35" s="81">
        <f>'Call RLA'!H63</f>
        <v>690520.7073211884</v>
      </c>
      <c r="I35" s="81"/>
      <c r="J35" s="81">
        <f>'Call RLA'!J63</f>
        <v>0</v>
      </c>
      <c r="K35" s="81">
        <f>'Call RLA'!K63</f>
        <v>493229.0766579917</v>
      </c>
      <c r="L35" s="81"/>
      <c r="M35" s="81">
        <f>'Call RLA'!M63</f>
        <v>0</v>
      </c>
    </row>
    <row r="36" spans="1:13" ht="12.75">
      <c r="A36" s="82" t="s">
        <v>21</v>
      </c>
      <c r="B36" s="83">
        <f>B35</f>
        <v>841028.6409154166</v>
      </c>
      <c r="C36" s="83">
        <v>0</v>
      </c>
      <c r="D36" s="83">
        <v>0</v>
      </c>
      <c r="E36" s="84">
        <f>'Call RLA'!E64</f>
        <v>986458.1533159835</v>
      </c>
      <c r="F36" s="84"/>
      <c r="G36" s="81">
        <f>'Call RLA'!G64</f>
        <v>0</v>
      </c>
      <c r="H36" s="81">
        <f>'Call RLA'!H64</f>
        <v>789166.5226527868</v>
      </c>
      <c r="I36" s="81"/>
      <c r="J36" s="81">
        <f>'Call RLA'!J64</f>
        <v>0</v>
      </c>
      <c r="K36" s="81">
        <f>'Call RLA'!K64</f>
        <v>591874.89198959</v>
      </c>
      <c r="L36" s="81"/>
      <c r="M36" s="81">
        <f>'Call RLA'!M64</f>
        <v>0</v>
      </c>
    </row>
    <row r="37" spans="1:13" ht="12.75">
      <c r="A37" s="82" t="s">
        <v>22</v>
      </c>
      <c r="B37" s="83">
        <f>B36</f>
        <v>841028.6409154166</v>
      </c>
      <c r="C37" s="83">
        <v>0</v>
      </c>
      <c r="D37" s="83">
        <v>0</v>
      </c>
      <c r="E37" s="84">
        <f>'Call RLA'!E65</f>
        <v>986458.1533159835</v>
      </c>
      <c r="F37" s="84"/>
      <c r="G37" s="81">
        <f>'Call RLA'!G65</f>
        <v>0</v>
      </c>
      <c r="H37" s="81">
        <f>'Call RLA'!H65</f>
        <v>887812.3379843852</v>
      </c>
      <c r="I37" s="81"/>
      <c r="J37" s="81">
        <f>'Call RLA'!J65</f>
        <v>0</v>
      </c>
      <c r="K37" s="81">
        <f>'Call RLA'!K65</f>
        <v>690520.7073211884</v>
      </c>
      <c r="L37" s="81"/>
      <c r="M37" s="81">
        <f>'Call RLA'!M65</f>
        <v>0</v>
      </c>
    </row>
    <row r="38" spans="1:13" ht="12.75">
      <c r="A38" s="82" t="s">
        <v>23</v>
      </c>
      <c r="B38" s="83">
        <f>B37</f>
        <v>841028.6409154166</v>
      </c>
      <c r="C38" s="83">
        <f>B26</f>
        <v>128255.50983566866</v>
      </c>
      <c r="D38" s="83">
        <f>C38-$J$13</f>
        <v>4806.99357015382</v>
      </c>
      <c r="E38" s="84">
        <f>'Call RLA'!E66</f>
        <v>986458.1533159835</v>
      </c>
      <c r="F38" s="84"/>
      <c r="G38" s="81">
        <f>'Call RLA'!G66</f>
        <v>0</v>
      </c>
      <c r="H38" s="81">
        <f>'Call RLA'!H66</f>
        <v>986458.1533159836</v>
      </c>
      <c r="I38" s="81"/>
      <c r="J38" s="81">
        <f>'Call RLA'!J66</f>
        <v>0</v>
      </c>
      <c r="K38" s="81">
        <f>'Call RLA'!K66</f>
        <v>789166.5226527868</v>
      </c>
      <c r="L38" s="81"/>
      <c r="M38" s="81">
        <f>'Call RLA'!M66</f>
        <v>0</v>
      </c>
    </row>
    <row r="39" spans="1:13" ht="12.75">
      <c r="A39" s="82" t="s">
        <v>24</v>
      </c>
      <c r="B39" s="83">
        <f>B38+D14</f>
        <v>1129426.9877125497</v>
      </c>
      <c r="C39" s="83">
        <f>C38</f>
        <v>128255.50983566866</v>
      </c>
      <c r="D39" s="83">
        <f aca="true" t="shared" si="2" ref="D39:D57">C39-$J$13</f>
        <v>4806.99357015382</v>
      </c>
      <c r="E39" s="84">
        <f>'Call RLA'!E67</f>
        <v>1763550.2533159833</v>
      </c>
      <c r="F39" s="84"/>
      <c r="G39" s="81">
        <f>'Call RLA'!G67</f>
        <v>0</v>
      </c>
      <c r="H39" s="81">
        <f>'Call RLA'!H67</f>
        <v>1064167.3633159837</v>
      </c>
      <c r="I39" s="81"/>
      <c r="J39" s="81">
        <f>'Call RLA'!J67</f>
        <v>0</v>
      </c>
      <c r="K39" s="81">
        <f>'Call RLA'!K67</f>
        <v>887812.3379843852</v>
      </c>
      <c r="L39" s="81"/>
      <c r="M39" s="81">
        <f>'Call RLA'!M67</f>
        <v>0</v>
      </c>
    </row>
    <row r="40" spans="1:13" ht="12.75">
      <c r="A40" s="82" t="s">
        <v>25</v>
      </c>
      <c r="B40" s="83">
        <f>B39</f>
        <v>1129426.9877125497</v>
      </c>
      <c r="C40" s="83">
        <f>C39</f>
        <v>128255.50983566866</v>
      </c>
      <c r="D40" s="83">
        <f t="shared" si="2"/>
        <v>4806.99357015382</v>
      </c>
      <c r="E40" s="84">
        <f>'Call RLA'!E68</f>
        <v>1763550.2533159833</v>
      </c>
      <c r="F40" s="84"/>
      <c r="G40" s="81">
        <f>'Call RLA'!G68</f>
        <v>0</v>
      </c>
      <c r="H40" s="81">
        <f>'Call RLA'!H68</f>
        <v>1141876.5733159836</v>
      </c>
      <c r="I40" s="81"/>
      <c r="J40" s="81">
        <f>'Call RLA'!J68</f>
        <v>0</v>
      </c>
      <c r="K40" s="81">
        <f>'Call RLA'!K68</f>
        <v>986458.1533159836</v>
      </c>
      <c r="L40" s="81"/>
      <c r="M40" s="81">
        <f>'Call RLA'!M68</f>
        <v>0</v>
      </c>
    </row>
    <row r="41" spans="1:13" ht="12.75">
      <c r="A41" s="82" t="s">
        <v>26</v>
      </c>
      <c r="B41" s="83">
        <f>B40</f>
        <v>1129426.9877125497</v>
      </c>
      <c r="C41" s="83">
        <f>C40</f>
        <v>128255.50983566866</v>
      </c>
      <c r="D41" s="83">
        <f t="shared" si="2"/>
        <v>4806.99357015382</v>
      </c>
      <c r="E41" s="84">
        <f>'Call RLA'!E69</f>
        <v>1763550.2533159833</v>
      </c>
      <c r="F41" s="84"/>
      <c r="G41" s="81">
        <f>'Call RLA'!G69</f>
        <v>0</v>
      </c>
      <c r="H41" s="81">
        <f>'Call RLA'!H69</f>
        <v>1219585.7833159836</v>
      </c>
      <c r="I41" s="81"/>
      <c r="J41" s="81">
        <f>'Call RLA'!J69</f>
        <v>0</v>
      </c>
      <c r="K41" s="81">
        <f>'Call RLA'!K69</f>
        <v>1064167.3633159837</v>
      </c>
      <c r="L41" s="81"/>
      <c r="M41" s="81">
        <f>'Call RLA'!M69</f>
        <v>0</v>
      </c>
    </row>
    <row r="42" spans="1:13" ht="12.75">
      <c r="A42" s="82" t="s">
        <v>27</v>
      </c>
      <c r="B42" s="83">
        <f>B41</f>
        <v>1129426.9877125497</v>
      </c>
      <c r="C42" s="83">
        <f>B27</f>
        <v>316005.0130021809</v>
      </c>
      <c r="D42" s="83">
        <f t="shared" si="2"/>
        <v>192556.49673666607</v>
      </c>
      <c r="E42" s="84">
        <f>'Call RLA'!E70</f>
        <v>1763550.2533159833</v>
      </c>
      <c r="F42" s="84"/>
      <c r="G42" s="81">
        <f>'Call RLA'!G70</f>
        <v>0</v>
      </c>
      <c r="H42" s="81">
        <f>'Call RLA'!H70</f>
        <v>1297294.9933159836</v>
      </c>
      <c r="I42" s="81"/>
      <c r="J42" s="81">
        <f>'Call RLA'!J70</f>
        <v>0</v>
      </c>
      <c r="K42" s="81">
        <f>'Call RLA'!K70</f>
        <v>1141876.5733159836</v>
      </c>
      <c r="L42" s="81"/>
      <c r="M42" s="81">
        <f>'Call RLA'!M70</f>
        <v>0</v>
      </c>
    </row>
    <row r="43" spans="1:13" ht="12.75">
      <c r="A43" s="82" t="s">
        <v>28</v>
      </c>
      <c r="B43" s="83">
        <f>B42+D15</f>
        <v>1436948.821109611</v>
      </c>
      <c r="C43" s="83">
        <f>C42</f>
        <v>316005.0130021809</v>
      </c>
      <c r="D43" s="83">
        <f t="shared" si="2"/>
        <v>192556.49673666607</v>
      </c>
      <c r="E43" s="84">
        <f>'Call RLA'!E71</f>
        <v>1763550.2533159833</v>
      </c>
      <c r="F43" s="84"/>
      <c r="G43" s="81">
        <f>'Call RLA'!G71</f>
        <v>0</v>
      </c>
      <c r="H43" s="81">
        <f>'Call RLA'!H71</f>
        <v>1336149.5983159835</v>
      </c>
      <c r="I43" s="81"/>
      <c r="J43" s="81">
        <f>'Call RLA'!J71</f>
        <v>0</v>
      </c>
      <c r="K43" s="81">
        <f>'Call RLA'!K71</f>
        <v>1219585.7833159836</v>
      </c>
      <c r="L43" s="81"/>
      <c r="M43" s="81">
        <f>'Call RLA'!M71</f>
        <v>0</v>
      </c>
    </row>
    <row r="44" spans="1:13" ht="12.75">
      <c r="A44" s="82" t="s">
        <v>29</v>
      </c>
      <c r="B44" s="83">
        <f>B43</f>
        <v>1436948.821109611</v>
      </c>
      <c r="C44" s="83">
        <f>C43</f>
        <v>316005.0130021809</v>
      </c>
      <c r="D44" s="83">
        <f t="shared" si="2"/>
        <v>192556.49673666607</v>
      </c>
      <c r="E44" s="84">
        <f>'Call RLA'!E72</f>
        <v>1763550.2533159833</v>
      </c>
      <c r="F44" s="84"/>
      <c r="G44" s="81">
        <f>'Call RLA'!G72</f>
        <v>0</v>
      </c>
      <c r="H44" s="81">
        <f>'Call RLA'!H72</f>
        <v>1375004.2033159835</v>
      </c>
      <c r="I44" s="81"/>
      <c r="J44" s="81">
        <f>'Call RLA'!J72</f>
        <v>0</v>
      </c>
      <c r="K44" s="81">
        <f>'Call RLA'!K72</f>
        <v>1297294.9933159836</v>
      </c>
      <c r="L44" s="81"/>
      <c r="M44" s="81">
        <f>'Call RLA'!M72</f>
        <v>0</v>
      </c>
    </row>
    <row r="45" spans="1:13" ht="12.75">
      <c r="A45" s="82" t="s">
        <v>30</v>
      </c>
      <c r="B45" s="83">
        <f>B44</f>
        <v>1436948.821109611</v>
      </c>
      <c r="C45" s="83">
        <f>C44</f>
        <v>316005.0130021809</v>
      </c>
      <c r="D45" s="83">
        <f t="shared" si="2"/>
        <v>192556.49673666607</v>
      </c>
      <c r="E45" s="84">
        <f>'Call RLA'!E73</f>
        <v>1763550.2533159833</v>
      </c>
      <c r="F45" s="84"/>
      <c r="G45" s="81">
        <f>'Call RLA'!G73</f>
        <v>0</v>
      </c>
      <c r="H45" s="81">
        <f>'Call RLA'!H73</f>
        <v>1413858.8083159835</v>
      </c>
      <c r="I45" s="81"/>
      <c r="J45" s="81">
        <f>'Call RLA'!J73</f>
        <v>0</v>
      </c>
      <c r="K45" s="81">
        <f>'Call RLA'!K73</f>
        <v>1336149.5983159835</v>
      </c>
      <c r="L45" s="81"/>
      <c r="M45" s="81">
        <f>'Call RLA'!M73</f>
        <v>0</v>
      </c>
    </row>
    <row r="46" spans="1:13" ht="12.75">
      <c r="A46" s="82" t="s">
        <v>31</v>
      </c>
      <c r="B46" s="83">
        <f>B45</f>
        <v>1436948.821109611</v>
      </c>
      <c r="C46" s="83">
        <f>B34</f>
        <v>571647.66794302</v>
      </c>
      <c r="D46" s="83">
        <f t="shared" si="2"/>
        <v>448199.1516775052</v>
      </c>
      <c r="E46" s="84">
        <f>'Call RLA'!E74</f>
        <v>1763550.2533159833</v>
      </c>
      <c r="F46" s="84"/>
      <c r="G46" s="81">
        <f>'Call RLA'!G74</f>
        <v>0</v>
      </c>
      <c r="H46" s="81">
        <f>'Call RLA'!H74</f>
        <v>1452713.4133159835</v>
      </c>
      <c r="I46" s="81"/>
      <c r="J46" s="81">
        <f>'Call RLA'!J74</f>
        <v>0</v>
      </c>
      <c r="K46" s="81">
        <f>'Call RLA'!K74</f>
        <v>1375004.2033159835</v>
      </c>
      <c r="L46" s="81"/>
      <c r="M46" s="81">
        <f>'Call RLA'!M74</f>
        <v>0</v>
      </c>
    </row>
    <row r="47" spans="1:13" ht="12.75">
      <c r="A47" s="82" t="s">
        <v>32</v>
      </c>
      <c r="B47" s="83">
        <f>B46+D16</f>
        <v>1763550.25</v>
      </c>
      <c r="C47" s="83">
        <f>C46</f>
        <v>571647.66794302</v>
      </c>
      <c r="D47" s="83">
        <f t="shared" si="2"/>
        <v>448199.1516775052</v>
      </c>
      <c r="E47" s="84">
        <f>'Call RLA'!E75</f>
        <v>1763550.2533159833</v>
      </c>
      <c r="F47" s="84"/>
      <c r="G47" s="81">
        <f>'Call RLA'!G75</f>
        <v>0</v>
      </c>
      <c r="H47" s="81">
        <f>'Call RLA'!H75</f>
        <v>1491568.0183159835</v>
      </c>
      <c r="I47" s="81"/>
      <c r="J47" s="81">
        <f>'Call RLA'!J75</f>
        <v>0</v>
      </c>
      <c r="K47" s="81">
        <f>'Call RLA'!K75</f>
        <v>1413858.8083159835</v>
      </c>
      <c r="L47" s="81"/>
      <c r="M47" s="81">
        <f>'Call RLA'!M75</f>
        <v>0</v>
      </c>
    </row>
    <row r="48" spans="1:13" ht="12.75">
      <c r="A48" s="82" t="s">
        <v>33</v>
      </c>
      <c r="B48" s="83">
        <f aca="true" t="shared" si="3" ref="B48:B58">$B$47</f>
        <v>1763550.25</v>
      </c>
      <c r="C48" s="83">
        <f>C47</f>
        <v>571647.66794302</v>
      </c>
      <c r="D48" s="83">
        <f t="shared" si="2"/>
        <v>448199.1516775052</v>
      </c>
      <c r="E48" s="84">
        <f>'Call RLA'!E76</f>
        <v>1763550.2533159833</v>
      </c>
      <c r="F48" s="84"/>
      <c r="G48" s="81">
        <f>'Call RLA'!G76</f>
        <v>0</v>
      </c>
      <c r="H48" s="81">
        <f>'Call RLA'!H76</f>
        <v>1530422.6233159835</v>
      </c>
      <c r="I48" s="81"/>
      <c r="J48" s="81">
        <f>'Call RLA'!J76</f>
        <v>0</v>
      </c>
      <c r="K48" s="81">
        <f>'Call RLA'!K76</f>
        <v>1452713.4133159835</v>
      </c>
      <c r="L48" s="81"/>
      <c r="M48" s="81">
        <f>'Call RLA'!M76</f>
        <v>0</v>
      </c>
    </row>
    <row r="49" spans="1:13" ht="12.75">
      <c r="A49" s="82" t="s">
        <v>34</v>
      </c>
      <c r="B49" s="83">
        <f t="shared" si="3"/>
        <v>1763550.25</v>
      </c>
      <c r="C49" s="83">
        <f>C48</f>
        <v>571647.66794302</v>
      </c>
      <c r="D49" s="83">
        <f t="shared" si="2"/>
        <v>448199.1516775052</v>
      </c>
      <c r="E49" s="84">
        <f>'Call RLA'!E77</f>
        <v>1763550.2533159833</v>
      </c>
      <c r="F49" s="84"/>
      <c r="G49" s="81">
        <f>'Call RLA'!G77</f>
        <v>0</v>
      </c>
      <c r="H49" s="81">
        <f>'Call RLA'!H77</f>
        <v>1608131.8333159834</v>
      </c>
      <c r="I49" s="81"/>
      <c r="J49" s="81">
        <f>'Call RLA'!J77</f>
        <v>0</v>
      </c>
      <c r="K49" s="81">
        <f>'Call RLA'!K77</f>
        <v>1491568.0183159835</v>
      </c>
      <c r="L49" s="81"/>
      <c r="M49" s="81">
        <f>'Call RLA'!M77</f>
        <v>0</v>
      </c>
    </row>
    <row r="50" spans="1:13" ht="12.75">
      <c r="A50" s="82" t="s">
        <v>35</v>
      </c>
      <c r="B50" s="83">
        <f t="shared" si="3"/>
        <v>1763550.25</v>
      </c>
      <c r="C50" s="83">
        <f>B35+D14</f>
        <v>1129426.9877125497</v>
      </c>
      <c r="D50" s="83">
        <f t="shared" si="2"/>
        <v>1005978.4714470349</v>
      </c>
      <c r="E50" s="84">
        <f>'Call RLA'!E78</f>
        <v>1763550.2533159833</v>
      </c>
      <c r="F50" s="84"/>
      <c r="G50" s="81">
        <f>'Call RLA'!G78</f>
        <v>0</v>
      </c>
      <c r="H50" s="81">
        <f>'Call RLA'!H78</f>
        <v>1608131.8333159834</v>
      </c>
      <c r="I50" s="81"/>
      <c r="J50" s="81">
        <f>'Call RLA'!J78</f>
        <v>0</v>
      </c>
      <c r="K50" s="81">
        <f>'Call RLA'!K78</f>
        <v>1530422.6233159835</v>
      </c>
      <c r="L50" s="81"/>
      <c r="M50" s="81">
        <f>'Call RLA'!M78</f>
        <v>0</v>
      </c>
    </row>
    <row r="51" spans="1:13" ht="12.75">
      <c r="A51" s="82" t="s">
        <v>36</v>
      </c>
      <c r="B51" s="83">
        <f t="shared" si="3"/>
        <v>1763550.25</v>
      </c>
      <c r="C51" s="83">
        <f>C50</f>
        <v>1129426.9877125497</v>
      </c>
      <c r="D51" s="83">
        <f t="shared" si="2"/>
        <v>1005978.4714470349</v>
      </c>
      <c r="E51" s="84">
        <f>'Call RLA'!E79</f>
        <v>1763550.2533159833</v>
      </c>
      <c r="F51" s="84"/>
      <c r="G51" s="81">
        <f>'Call RLA'!G79</f>
        <v>0</v>
      </c>
      <c r="H51" s="81">
        <f>'Call RLA'!H79</f>
        <v>1763550.2533159833</v>
      </c>
      <c r="I51" s="81"/>
      <c r="J51" s="81">
        <f>'Call RLA'!J79</f>
        <v>0</v>
      </c>
      <c r="K51" s="81">
        <f>'Call RLA'!K79</f>
        <v>1608131.8333159834</v>
      </c>
      <c r="L51" s="81"/>
      <c r="M51" s="81">
        <f>'Call RLA'!M79</f>
        <v>0</v>
      </c>
    </row>
    <row r="52" spans="1:13" ht="12.75">
      <c r="A52" s="82" t="s">
        <v>37</v>
      </c>
      <c r="B52" s="83">
        <f t="shared" si="3"/>
        <v>1763550.25</v>
      </c>
      <c r="C52" s="83">
        <f>C51</f>
        <v>1129426.9877125497</v>
      </c>
      <c r="D52" s="83">
        <f t="shared" si="2"/>
        <v>1005978.4714470349</v>
      </c>
      <c r="E52" s="84">
        <f>'Call RLA'!E80</f>
        <v>1763550.2533159833</v>
      </c>
      <c r="F52" s="84"/>
      <c r="G52" s="81">
        <f>'Call RLA'!G80</f>
        <v>0</v>
      </c>
      <c r="H52" s="81">
        <f>'Call RLA'!H80</f>
        <v>1763550.2533159833</v>
      </c>
      <c r="I52" s="81"/>
      <c r="J52" s="81">
        <f>'Call RLA'!J80</f>
        <v>0</v>
      </c>
      <c r="K52" s="81">
        <f>'Call RLA'!K80</f>
        <v>1685841.0433159834</v>
      </c>
      <c r="L52" s="81"/>
      <c r="M52" s="81">
        <f>'Call RLA'!M80</f>
        <v>0</v>
      </c>
    </row>
    <row r="53" spans="1:13" ht="12.75">
      <c r="A53" s="82" t="s">
        <v>38</v>
      </c>
      <c r="B53" s="83">
        <f t="shared" si="3"/>
        <v>1763550.25</v>
      </c>
      <c r="C53" s="83">
        <f>C52</f>
        <v>1129426.9877125497</v>
      </c>
      <c r="D53" s="83">
        <f t="shared" si="2"/>
        <v>1005978.4714470349</v>
      </c>
      <c r="E53" s="84">
        <f>'Call RLA'!E81</f>
        <v>1763550.2533159833</v>
      </c>
      <c r="F53" s="84"/>
      <c r="G53" s="81">
        <f>'Call RLA'!G81</f>
        <v>0</v>
      </c>
      <c r="H53" s="81">
        <f>'Call RLA'!H81</f>
        <v>1763550.2533159833</v>
      </c>
      <c r="I53" s="81"/>
      <c r="J53" s="81">
        <f>'Call RLA'!J81</f>
        <v>0</v>
      </c>
      <c r="K53" s="81">
        <f>'Call RLA'!K81</f>
        <v>1763550.2533159833</v>
      </c>
      <c r="L53" s="81"/>
      <c r="M53" s="81">
        <f>'Call RLA'!M81</f>
        <v>0</v>
      </c>
    </row>
    <row r="54" spans="1:13" ht="12.75">
      <c r="A54" s="82" t="s">
        <v>39</v>
      </c>
      <c r="B54" s="83">
        <f t="shared" si="3"/>
        <v>1763550.25</v>
      </c>
      <c r="C54" s="83">
        <f>B46</f>
        <v>1436948.821109611</v>
      </c>
      <c r="D54" s="83">
        <f t="shared" si="2"/>
        <v>1313500.3048440963</v>
      </c>
      <c r="E54" s="84">
        <f>'Call RLA'!E82</f>
        <v>1763550.2533159833</v>
      </c>
      <c r="F54" s="84"/>
      <c r="G54" s="81">
        <f>'Call RLA'!G82</f>
        <v>0</v>
      </c>
      <c r="H54" s="81">
        <f>'Call RLA'!H82</f>
        <v>1763550.2533159833</v>
      </c>
      <c r="I54" s="81"/>
      <c r="J54" s="81">
        <f>'Call RLA'!J82</f>
        <v>0</v>
      </c>
      <c r="K54" s="81">
        <f>'Call RLA'!K82</f>
        <v>1763550.2533159833</v>
      </c>
      <c r="L54" s="81"/>
      <c r="M54" s="81">
        <f>'Call RLA'!M82</f>
        <v>0</v>
      </c>
    </row>
    <row r="55" spans="1:13" ht="12.75">
      <c r="A55" s="82" t="s">
        <v>40</v>
      </c>
      <c r="B55" s="83">
        <f t="shared" si="3"/>
        <v>1763550.25</v>
      </c>
      <c r="C55" s="83">
        <f>C54</f>
        <v>1436948.821109611</v>
      </c>
      <c r="D55" s="83">
        <f t="shared" si="2"/>
        <v>1313500.3048440963</v>
      </c>
      <c r="E55" s="84">
        <f>'Call RLA'!E83</f>
        <v>1763550.2533159833</v>
      </c>
      <c r="F55" s="84"/>
      <c r="G55" s="81">
        <f>'Call RLA'!G83</f>
        <v>0</v>
      </c>
      <c r="H55" s="81">
        <f>'Call RLA'!H83</f>
        <v>1763550.2533159833</v>
      </c>
      <c r="I55" s="81"/>
      <c r="J55" s="81">
        <f>'Call RLA'!J83</f>
        <v>0</v>
      </c>
      <c r="K55" s="81">
        <f>'Call RLA'!K83</f>
        <v>1763550.2533159833</v>
      </c>
      <c r="L55" s="81"/>
      <c r="M55" s="81">
        <f>'Call RLA'!M83</f>
        <v>0</v>
      </c>
    </row>
    <row r="56" spans="1:13" ht="12.75">
      <c r="A56" s="82" t="s">
        <v>41</v>
      </c>
      <c r="B56" s="83">
        <f t="shared" si="3"/>
        <v>1763550.25</v>
      </c>
      <c r="C56" s="83">
        <f>C55</f>
        <v>1436948.821109611</v>
      </c>
      <c r="D56" s="83">
        <f t="shared" si="2"/>
        <v>1313500.3048440963</v>
      </c>
      <c r="E56" s="84">
        <f>'Call RLA'!E84</f>
        <v>1763550.2533159833</v>
      </c>
      <c r="F56" s="84"/>
      <c r="G56" s="81">
        <f>'Call RLA'!G84</f>
        <v>0</v>
      </c>
      <c r="H56" s="81">
        <f>'Call RLA'!H84</f>
        <v>1763550.2533159833</v>
      </c>
      <c r="I56" s="81"/>
      <c r="J56" s="81">
        <f>'Call RLA'!J84</f>
        <v>0</v>
      </c>
      <c r="K56" s="81">
        <f>'Call RLA'!K84</f>
        <v>1763550.2533159833</v>
      </c>
      <c r="L56" s="81"/>
      <c r="M56" s="81">
        <f>'Call RLA'!M84</f>
        <v>0</v>
      </c>
    </row>
    <row r="57" spans="1:13" ht="12.75">
      <c r="A57" s="82" t="s">
        <v>42</v>
      </c>
      <c r="B57" s="83">
        <f t="shared" si="3"/>
        <v>1763550.25</v>
      </c>
      <c r="C57" s="83">
        <f>C56</f>
        <v>1436948.821109611</v>
      </c>
      <c r="D57" s="83">
        <f t="shared" si="2"/>
        <v>1313500.3048440963</v>
      </c>
      <c r="E57" s="84">
        <f>'Call RLA'!E85</f>
        <v>1763550.2533159833</v>
      </c>
      <c r="F57" s="84"/>
      <c r="G57" s="81">
        <f>'Call RLA'!G85</f>
        <v>0</v>
      </c>
      <c r="H57" s="81">
        <f>'Call RLA'!H85</f>
        <v>1763550.2533159833</v>
      </c>
      <c r="I57" s="81"/>
      <c r="J57" s="81">
        <f>'Call RLA'!J85</f>
        <v>0</v>
      </c>
      <c r="K57" s="81">
        <f>'Call RLA'!K85</f>
        <v>1763550.2533159833</v>
      </c>
      <c r="L57" s="81"/>
      <c r="M57" s="81">
        <f>'Call RLA'!M85</f>
        <v>0</v>
      </c>
    </row>
    <row r="58" spans="1:13" ht="12.75">
      <c r="A58" s="82" t="s">
        <v>43</v>
      </c>
      <c r="B58" s="83">
        <f t="shared" si="3"/>
        <v>1763550.25</v>
      </c>
      <c r="C58" s="83">
        <f>B47</f>
        <v>1763550.25</v>
      </c>
      <c r="D58" s="83">
        <f>C58</f>
        <v>1763550.25</v>
      </c>
      <c r="E58" s="84">
        <f>'Call RLA'!E86</f>
        <v>1763550.2533159833</v>
      </c>
      <c r="F58" s="84"/>
      <c r="G58" s="81">
        <f>'Call RLA'!G86</f>
        <v>0</v>
      </c>
      <c r="H58" s="81">
        <f>'Call RLA'!H86</f>
        <v>1763550.2533159833</v>
      </c>
      <c r="I58" s="81"/>
      <c r="J58" s="81">
        <f>'Call RLA'!J86</f>
        <v>0</v>
      </c>
      <c r="K58" s="81">
        <f>'Call RLA'!K86</f>
        <v>1763550.2533159833</v>
      </c>
      <c r="L58" s="81"/>
      <c r="M58" s="81">
        <f>'Call RLA'!M86</f>
        <v>0</v>
      </c>
    </row>
  </sheetData>
  <mergeCells count="2">
    <mergeCell ref="A7:C7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115" workbookViewId="0" topLeftCell="A7">
      <selection activeCell="H17" sqref="H1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customWidth="1"/>
    <col min="6" max="6" width="12.140625" style="0" customWidth="1"/>
    <col min="7" max="7" width="15.7109375" style="0" customWidth="1"/>
    <col min="8" max="9" width="12.57421875" style="0" customWidth="1"/>
    <col min="10" max="12" width="13.00390625" style="0" customWidth="1"/>
    <col min="13" max="13" width="13.421875" style="0" customWidth="1"/>
  </cols>
  <sheetData>
    <row r="1" spans="1:13" ht="22.5" customHeight="1">
      <c r="A1" s="157" t="s">
        <v>184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22.5" customHeight="1">
      <c r="A2" s="154" t="s">
        <v>63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4" spans="1:3" ht="12.75">
      <c r="A4" t="s">
        <v>148</v>
      </c>
      <c r="B4" s="14"/>
      <c r="C4" s="6">
        <f>'IM 1.5 '!B5</f>
        <v>1763550.25</v>
      </c>
    </row>
    <row r="6" ht="12.75">
      <c r="A6" t="s">
        <v>57</v>
      </c>
    </row>
    <row r="7" spans="1:13" ht="45" customHeight="1">
      <c r="A7" s="4" t="s">
        <v>4</v>
      </c>
      <c r="B7" s="4" t="s">
        <v>5</v>
      </c>
      <c r="C7" s="4" t="s">
        <v>6</v>
      </c>
      <c r="D7" s="4" t="s">
        <v>7</v>
      </c>
      <c r="E7" s="12" t="s">
        <v>137</v>
      </c>
      <c r="F7" s="12" t="s">
        <v>139</v>
      </c>
      <c r="G7" s="12" t="s">
        <v>138</v>
      </c>
      <c r="H7" s="12" t="s">
        <v>141</v>
      </c>
      <c r="I7" s="12" t="s">
        <v>142</v>
      </c>
      <c r="J7" s="12" t="s">
        <v>147</v>
      </c>
      <c r="K7" s="12" t="s">
        <v>145</v>
      </c>
      <c r="L7" s="12" t="s">
        <v>146</v>
      </c>
      <c r="M7" s="12" t="s">
        <v>144</v>
      </c>
    </row>
    <row r="8" spans="1:13" ht="12.75">
      <c r="A8" s="5" t="s">
        <v>8</v>
      </c>
      <c r="B8" s="6"/>
      <c r="C8" s="6"/>
      <c r="D8" s="6"/>
      <c r="E8" s="6"/>
      <c r="F8" s="6"/>
      <c r="G8" s="45">
        <v>0</v>
      </c>
      <c r="H8" s="45"/>
      <c r="I8" s="45"/>
      <c r="J8" s="6">
        <v>0</v>
      </c>
      <c r="K8" s="6"/>
      <c r="L8" s="6"/>
      <c r="M8" s="45">
        <v>0</v>
      </c>
    </row>
    <row r="9" spans="1:13" ht="12.75">
      <c r="A9" s="5" t="s">
        <v>9</v>
      </c>
      <c r="B9" s="6"/>
      <c r="C9" s="6"/>
      <c r="D9" s="6"/>
      <c r="E9" s="6"/>
      <c r="F9" s="6"/>
      <c r="G9" s="45">
        <v>0</v>
      </c>
      <c r="H9" s="45"/>
      <c r="I9" s="45"/>
      <c r="J9" s="6">
        <v>0</v>
      </c>
      <c r="K9" s="6"/>
      <c r="L9" s="6"/>
      <c r="M9" s="45">
        <v>0</v>
      </c>
    </row>
    <row r="10" spans="1:13" ht="12.75">
      <c r="A10" s="5" t="s">
        <v>10</v>
      </c>
      <c r="B10" s="6"/>
      <c r="C10" s="6"/>
      <c r="D10" s="6"/>
      <c r="E10" s="6"/>
      <c r="F10" s="6"/>
      <c r="G10" s="45">
        <v>0</v>
      </c>
      <c r="H10" s="45"/>
      <c r="I10" s="45"/>
      <c r="J10" s="6">
        <v>0</v>
      </c>
      <c r="K10" s="6"/>
      <c r="L10" s="6"/>
      <c r="M10" s="45">
        <v>0</v>
      </c>
    </row>
    <row r="11" spans="1:13" ht="12.75">
      <c r="A11" s="5" t="s">
        <v>11</v>
      </c>
      <c r="B11" s="6"/>
      <c r="C11" s="6"/>
      <c r="D11" s="6"/>
      <c r="E11" s="6"/>
      <c r="F11" s="6"/>
      <c r="G11" s="26">
        <v>0</v>
      </c>
      <c r="H11" s="26"/>
      <c r="I11" s="26"/>
      <c r="J11" s="6">
        <v>0</v>
      </c>
      <c r="K11" s="6"/>
      <c r="L11" s="6"/>
      <c r="M11" s="45">
        <v>0</v>
      </c>
    </row>
    <row r="12" spans="1:13" ht="12.75">
      <c r="A12" s="5" t="s">
        <v>12</v>
      </c>
      <c r="B12" s="63"/>
      <c r="C12" s="61"/>
      <c r="D12" s="61"/>
      <c r="E12" s="61"/>
      <c r="F12" s="73"/>
      <c r="G12" s="26"/>
      <c r="H12" s="26"/>
      <c r="I12" s="104"/>
      <c r="J12" s="6"/>
      <c r="K12" s="6"/>
      <c r="L12" s="105"/>
      <c r="M12" s="45"/>
    </row>
    <row r="13" spans="1:13" ht="12.75">
      <c r="A13" s="5" t="s">
        <v>13</v>
      </c>
      <c r="B13" s="63"/>
      <c r="C13" s="61"/>
      <c r="D13" s="61"/>
      <c r="E13" s="61"/>
      <c r="F13" s="73"/>
      <c r="G13" s="26"/>
      <c r="H13" s="26"/>
      <c r="I13" s="104"/>
      <c r="J13" s="6"/>
      <c r="K13" s="6"/>
      <c r="L13" s="105"/>
      <c r="M13" s="45"/>
    </row>
    <row r="14" spans="1:13" ht="12.75">
      <c r="A14" s="5" t="s">
        <v>14</v>
      </c>
      <c r="B14" s="63"/>
      <c r="C14" s="61"/>
      <c r="D14" s="61"/>
      <c r="E14" s="61">
        <f>2269817/1.95583*0.85</f>
        <v>986458.1533159835</v>
      </c>
      <c r="F14" s="73"/>
      <c r="G14" s="26"/>
      <c r="I14" s="104"/>
      <c r="K14" s="6"/>
      <c r="L14" s="105"/>
      <c r="M14" s="45"/>
    </row>
    <row r="15" spans="1:12" ht="12.75">
      <c r="A15" s="5" t="s">
        <v>15</v>
      </c>
      <c r="B15" s="63"/>
      <c r="C15" s="61"/>
      <c r="D15" s="61"/>
      <c r="E15" s="61"/>
      <c r="F15" s="73"/>
      <c r="G15" s="26"/>
      <c r="H15" s="26"/>
      <c r="I15" s="104"/>
      <c r="J15" s="6"/>
      <c r="L15" s="105"/>
    </row>
    <row r="16" spans="1:12" ht="12.75">
      <c r="A16" s="5" t="s">
        <v>16</v>
      </c>
      <c r="B16" s="63"/>
      <c r="C16" s="61"/>
      <c r="D16" s="61"/>
      <c r="E16" s="61"/>
      <c r="F16" s="73"/>
      <c r="G16" s="26"/>
      <c r="H16" s="26">
        <f>K18</f>
        <v>147968.7229973975</v>
      </c>
      <c r="I16" s="104"/>
      <c r="J16" s="6"/>
      <c r="L16" s="105"/>
    </row>
    <row r="17" spans="1:13" ht="12.75">
      <c r="A17" s="5" t="s">
        <v>17</v>
      </c>
      <c r="B17" s="63"/>
      <c r="C17" s="61"/>
      <c r="D17" s="61"/>
      <c r="E17" s="61"/>
      <c r="F17" s="73"/>
      <c r="G17" s="26"/>
      <c r="H17" s="26">
        <f aca="true" t="shared" si="0" ref="H17:H35">K19</f>
        <v>147968.7229973975</v>
      </c>
      <c r="I17" s="104"/>
      <c r="J17" s="6"/>
      <c r="K17" s="6">
        <v>0</v>
      </c>
      <c r="L17" s="105"/>
      <c r="M17" s="45"/>
    </row>
    <row r="18" spans="1:13" ht="12.75">
      <c r="A18" s="5" t="s">
        <v>18</v>
      </c>
      <c r="B18" s="63"/>
      <c r="C18" s="61"/>
      <c r="D18" s="61"/>
      <c r="F18" s="73"/>
      <c r="H18" s="26">
        <f t="shared" si="0"/>
        <v>98645.81533159835</v>
      </c>
      <c r="I18" s="104"/>
      <c r="J18" s="6"/>
      <c r="K18" s="6">
        <f>E14*0.15</f>
        <v>147968.7229973975</v>
      </c>
      <c r="L18" s="105"/>
      <c r="M18" s="45"/>
    </row>
    <row r="19" spans="1:13" ht="12.75">
      <c r="A19" s="5" t="s">
        <v>19</v>
      </c>
      <c r="B19" s="63"/>
      <c r="C19" s="61"/>
      <c r="D19" s="61"/>
      <c r="E19" s="61"/>
      <c r="F19" s="73"/>
      <c r="G19" s="26"/>
      <c r="H19" s="26">
        <f t="shared" si="0"/>
        <v>98645.81533159835</v>
      </c>
      <c r="I19" s="104"/>
      <c r="J19" s="6"/>
      <c r="K19" s="6">
        <f>E14*0.15</f>
        <v>147968.7229973975</v>
      </c>
      <c r="L19" s="105"/>
      <c r="M19" s="45"/>
    </row>
    <row r="20" spans="1:13" ht="12.75">
      <c r="A20" s="5" t="s">
        <v>20</v>
      </c>
      <c r="B20" s="63"/>
      <c r="C20" s="61"/>
      <c r="D20" s="61"/>
      <c r="F20" s="73"/>
      <c r="H20" s="26">
        <f t="shared" si="0"/>
        <v>98645.81533159835</v>
      </c>
      <c r="I20" s="104"/>
      <c r="J20" s="6"/>
      <c r="K20" s="6">
        <f>E14*0.1</f>
        <v>98645.81533159835</v>
      </c>
      <c r="L20" s="105"/>
      <c r="M20" s="45"/>
    </row>
    <row r="21" spans="1:13" ht="12.75">
      <c r="A21" s="5" t="s">
        <v>21</v>
      </c>
      <c r="B21" s="63"/>
      <c r="C21" s="61"/>
      <c r="D21" s="61"/>
      <c r="E21" s="61"/>
      <c r="F21" s="73"/>
      <c r="G21" s="26"/>
      <c r="H21" s="26">
        <f t="shared" si="0"/>
        <v>98645.81533159835</v>
      </c>
      <c r="I21" s="104"/>
      <c r="J21" s="6"/>
      <c r="K21" s="6">
        <f>K20</f>
        <v>98645.81533159835</v>
      </c>
      <c r="L21" s="105"/>
      <c r="M21" s="45"/>
    </row>
    <row r="22" spans="1:13" ht="12.75">
      <c r="A22" s="5" t="s">
        <v>22</v>
      </c>
      <c r="B22" s="63"/>
      <c r="C22" s="61"/>
      <c r="D22" s="61"/>
      <c r="E22" s="61"/>
      <c r="F22" s="73"/>
      <c r="G22" s="26"/>
      <c r="H22" s="26">
        <f t="shared" si="0"/>
        <v>98645.81533159835</v>
      </c>
      <c r="I22" s="104"/>
      <c r="J22" s="6"/>
      <c r="K22" s="6">
        <f>K21</f>
        <v>98645.81533159835</v>
      </c>
      <c r="L22" s="105"/>
      <c r="M22" s="45"/>
    </row>
    <row r="23" spans="1:13" ht="12.75">
      <c r="A23" s="5" t="s">
        <v>23</v>
      </c>
      <c r="B23" s="63"/>
      <c r="C23" s="61"/>
      <c r="D23" s="61"/>
      <c r="E23" s="61"/>
      <c r="F23" s="73"/>
      <c r="G23" s="26"/>
      <c r="H23" s="26">
        <f t="shared" si="0"/>
        <v>98645.81533159835</v>
      </c>
      <c r="I23" s="104"/>
      <c r="J23" s="6"/>
      <c r="K23" s="6">
        <f>K22</f>
        <v>98645.81533159835</v>
      </c>
      <c r="L23" s="105"/>
      <c r="M23" s="45"/>
    </row>
    <row r="24" spans="1:13" ht="12.75">
      <c r="A24" s="5" t="s">
        <v>24</v>
      </c>
      <c r="B24" s="63"/>
      <c r="C24" s="61"/>
      <c r="D24" s="62"/>
      <c r="E24" s="61">
        <f>713706*0.85+170442</f>
        <v>777092.1</v>
      </c>
      <c r="F24" s="73"/>
      <c r="G24" s="26"/>
      <c r="H24" s="26">
        <f t="shared" si="0"/>
        <v>98645.81533159835</v>
      </c>
      <c r="I24" s="104"/>
      <c r="J24" s="6"/>
      <c r="K24" s="6">
        <f>+K21</f>
        <v>98645.81533159835</v>
      </c>
      <c r="L24" s="105"/>
      <c r="M24" s="45"/>
    </row>
    <row r="25" spans="1:13" ht="12.75">
      <c r="A25" s="5" t="s">
        <v>25</v>
      </c>
      <c r="B25" s="63"/>
      <c r="C25" s="61"/>
      <c r="D25" s="61"/>
      <c r="E25" s="61"/>
      <c r="F25" s="73"/>
      <c r="G25" s="26"/>
      <c r="H25" s="26">
        <f t="shared" si="0"/>
        <v>77709.21</v>
      </c>
      <c r="I25" s="104"/>
      <c r="J25" s="6"/>
      <c r="K25" s="6">
        <f>+K21</f>
        <v>98645.81533159835</v>
      </c>
      <c r="L25" s="105"/>
      <c r="M25" s="45"/>
    </row>
    <row r="26" spans="1:13" ht="12.75">
      <c r="A26" s="5" t="s">
        <v>26</v>
      </c>
      <c r="B26" s="63"/>
      <c r="C26" s="61"/>
      <c r="D26" s="61"/>
      <c r="E26" s="61"/>
      <c r="F26" s="73"/>
      <c r="G26" s="26"/>
      <c r="H26" s="26">
        <f t="shared" si="0"/>
        <v>77709.21</v>
      </c>
      <c r="I26" s="104"/>
      <c r="J26" s="6"/>
      <c r="K26" s="6">
        <f>+K20</f>
        <v>98645.81533159835</v>
      </c>
      <c r="L26" s="105"/>
      <c r="M26" s="45"/>
    </row>
    <row r="27" spans="1:13" ht="12.75">
      <c r="A27" s="5" t="s">
        <v>27</v>
      </c>
      <c r="B27" s="63"/>
      <c r="C27" s="61"/>
      <c r="D27" s="61"/>
      <c r="E27" s="61"/>
      <c r="F27" s="73"/>
      <c r="G27" s="26"/>
      <c r="H27" s="26">
        <f t="shared" si="0"/>
        <v>77709.21</v>
      </c>
      <c r="I27" s="104"/>
      <c r="J27" s="6"/>
      <c r="K27" s="6">
        <f>E24*0.1</f>
        <v>77709.21</v>
      </c>
      <c r="L27" s="105"/>
      <c r="M27" s="45"/>
    </row>
    <row r="28" spans="1:13" ht="12.75">
      <c r="A28" s="5" t="s">
        <v>28</v>
      </c>
      <c r="B28" s="63"/>
      <c r="C28" s="61"/>
      <c r="D28" s="61"/>
      <c r="E28" s="61"/>
      <c r="F28" s="73"/>
      <c r="G28" s="26"/>
      <c r="H28" s="26">
        <f t="shared" si="0"/>
        <v>77709.21</v>
      </c>
      <c r="I28" s="104"/>
      <c r="J28" s="6"/>
      <c r="K28" s="6">
        <f>E24*0.1</f>
        <v>77709.21</v>
      </c>
      <c r="L28" s="105"/>
      <c r="M28" s="45"/>
    </row>
    <row r="29" spans="1:13" ht="12.75">
      <c r="A29" s="5" t="s">
        <v>29</v>
      </c>
      <c r="B29" s="63"/>
      <c r="C29" s="61"/>
      <c r="D29" s="61"/>
      <c r="E29" s="61"/>
      <c r="F29" s="73"/>
      <c r="G29" s="26"/>
      <c r="H29" s="26">
        <f t="shared" si="0"/>
        <v>38854.605</v>
      </c>
      <c r="I29" s="104"/>
      <c r="J29" s="6"/>
      <c r="K29" s="6">
        <f>E24*0.1</f>
        <v>77709.21</v>
      </c>
      <c r="L29" s="105"/>
      <c r="M29" s="45"/>
    </row>
    <row r="30" spans="1:13" ht="12.75">
      <c r="A30" s="5" t="s">
        <v>30</v>
      </c>
      <c r="B30" s="63"/>
      <c r="C30" s="61"/>
      <c r="D30" s="61"/>
      <c r="E30" s="61"/>
      <c r="F30" s="73"/>
      <c r="G30" s="26"/>
      <c r="H30" s="26">
        <f t="shared" si="0"/>
        <v>38854.605</v>
      </c>
      <c r="I30" s="104"/>
      <c r="J30" s="6"/>
      <c r="K30" s="6">
        <f>E24*0.1</f>
        <v>77709.21</v>
      </c>
      <c r="L30" s="105"/>
      <c r="M30" s="45"/>
    </row>
    <row r="31" spans="1:13" ht="12.75">
      <c r="A31" s="5" t="s">
        <v>31</v>
      </c>
      <c r="B31" s="63"/>
      <c r="C31" s="61"/>
      <c r="D31" s="61"/>
      <c r="E31" s="61"/>
      <c r="F31" s="73"/>
      <c r="G31" s="26"/>
      <c r="H31" s="26">
        <f t="shared" si="0"/>
        <v>38854.605</v>
      </c>
      <c r="I31" s="104"/>
      <c r="J31" s="6"/>
      <c r="K31" s="6">
        <f>E24*0.05</f>
        <v>38854.605</v>
      </c>
      <c r="L31" s="105"/>
      <c r="M31" s="45"/>
    </row>
    <row r="32" spans="1:13" ht="12.75">
      <c r="A32" s="5" t="s">
        <v>32</v>
      </c>
      <c r="B32" s="63"/>
      <c r="C32" s="61"/>
      <c r="D32" s="61"/>
      <c r="E32" s="61"/>
      <c r="F32" s="73"/>
      <c r="G32" s="26"/>
      <c r="H32" s="26">
        <f t="shared" si="0"/>
        <v>38854.605</v>
      </c>
      <c r="I32" s="104"/>
      <c r="J32" s="6"/>
      <c r="K32" s="6">
        <f>K31</f>
        <v>38854.605</v>
      </c>
      <c r="L32" s="105"/>
      <c r="M32" s="45"/>
    </row>
    <row r="33" spans="1:13" ht="12.75">
      <c r="A33" s="5" t="s">
        <v>33</v>
      </c>
      <c r="B33" s="61"/>
      <c r="C33" s="61"/>
      <c r="D33" s="62"/>
      <c r="E33" s="62"/>
      <c r="F33" s="73"/>
      <c r="G33" s="6"/>
      <c r="H33" s="26">
        <f t="shared" si="0"/>
        <v>38854.605</v>
      </c>
      <c r="I33" s="104"/>
      <c r="J33" s="6"/>
      <c r="K33" s="6">
        <f>K32</f>
        <v>38854.605</v>
      </c>
      <c r="L33" s="105"/>
      <c r="M33" s="45"/>
    </row>
    <row r="34" spans="1:13" ht="12.75">
      <c r="A34" s="5" t="s">
        <v>34</v>
      </c>
      <c r="B34" s="61"/>
      <c r="C34" s="61"/>
      <c r="D34" s="62"/>
      <c r="E34" s="62"/>
      <c r="F34" s="73"/>
      <c r="G34" s="6"/>
      <c r="H34" s="26">
        <f t="shared" si="0"/>
        <v>38854.605</v>
      </c>
      <c r="I34" s="104"/>
      <c r="J34" s="6"/>
      <c r="K34" s="6">
        <f>K33</f>
        <v>38854.605</v>
      </c>
      <c r="L34" s="105"/>
      <c r="M34" s="45"/>
    </row>
    <row r="35" spans="1:13" ht="12.75">
      <c r="A35" s="5" t="s">
        <v>35</v>
      </c>
      <c r="B35" s="61"/>
      <c r="C35" s="61"/>
      <c r="D35" s="62"/>
      <c r="E35" s="62"/>
      <c r="F35" s="73"/>
      <c r="G35" s="6"/>
      <c r="H35" s="26">
        <f t="shared" si="0"/>
        <v>77709.21</v>
      </c>
      <c r="I35" s="104"/>
      <c r="J35" s="6"/>
      <c r="K35" s="6">
        <f>K34</f>
        <v>38854.605</v>
      </c>
      <c r="L35" s="105"/>
      <c r="M35" s="45"/>
    </row>
    <row r="36" spans="1:13" ht="12.75">
      <c r="A36" s="5" t="s">
        <v>36</v>
      </c>
      <c r="B36" s="61"/>
      <c r="C36" s="61"/>
      <c r="D36" s="62"/>
      <c r="E36" s="62"/>
      <c r="F36" s="73"/>
      <c r="G36" s="6"/>
      <c r="H36" s="26"/>
      <c r="I36" s="104"/>
      <c r="J36" s="6"/>
      <c r="K36" s="6">
        <f>K35</f>
        <v>38854.605</v>
      </c>
      <c r="L36" s="105"/>
      <c r="M36" s="45"/>
    </row>
    <row r="37" spans="1:13" ht="12.75">
      <c r="A37" s="5" t="s">
        <v>37</v>
      </c>
      <c r="B37" s="57"/>
      <c r="C37" s="57"/>
      <c r="D37" s="58"/>
      <c r="E37" s="58"/>
      <c r="F37" s="58"/>
      <c r="G37" s="6"/>
      <c r="H37" s="26">
        <f>K39*2</f>
        <v>155418.42</v>
      </c>
      <c r="I37" s="104"/>
      <c r="J37" s="6"/>
      <c r="K37" s="6">
        <f>K38</f>
        <v>77709.21</v>
      </c>
      <c r="L37" s="105"/>
      <c r="M37" s="45"/>
    </row>
    <row r="38" spans="1:13" ht="12.75">
      <c r="A38" s="5" t="s">
        <v>38</v>
      </c>
      <c r="B38" s="57"/>
      <c r="C38" s="57"/>
      <c r="D38" s="58"/>
      <c r="E38" s="58"/>
      <c r="F38" s="58"/>
      <c r="G38" s="6"/>
      <c r="H38" s="26"/>
      <c r="I38" s="104"/>
      <c r="J38" s="6"/>
      <c r="K38" s="6">
        <f>K39</f>
        <v>77709.21</v>
      </c>
      <c r="L38" s="105"/>
      <c r="M38" s="45"/>
    </row>
    <row r="39" spans="1:13" ht="12.75">
      <c r="A39" s="5" t="s">
        <v>39</v>
      </c>
      <c r="B39" s="57"/>
      <c r="C39" s="57"/>
      <c r="D39" s="58"/>
      <c r="E39" s="58"/>
      <c r="F39" s="58"/>
      <c r="G39" s="6"/>
      <c r="H39" s="26"/>
      <c r="I39" s="104"/>
      <c r="J39" s="6"/>
      <c r="K39" s="6">
        <f>E24*0.1</f>
        <v>77709.21</v>
      </c>
      <c r="L39" s="105"/>
      <c r="M39" s="45"/>
    </row>
    <row r="40" spans="1:13" ht="12.75">
      <c r="A40" s="5" t="s">
        <v>40</v>
      </c>
      <c r="B40" s="57"/>
      <c r="C40" s="58"/>
      <c r="D40" s="58"/>
      <c r="E40" s="58"/>
      <c r="F40" s="58"/>
      <c r="G40" s="6"/>
      <c r="H40" s="26"/>
      <c r="I40" s="104"/>
      <c r="J40" s="6"/>
      <c r="K40" s="6"/>
      <c r="L40" s="105"/>
      <c r="M40" s="6"/>
    </row>
    <row r="41" spans="1:13" ht="12.75">
      <c r="A41" s="5" t="s">
        <v>41</v>
      </c>
      <c r="B41" s="57"/>
      <c r="C41" s="58"/>
      <c r="D41" s="58"/>
      <c r="E41" s="58"/>
      <c r="F41" s="58"/>
      <c r="G41" s="6"/>
      <c r="H41" s="26"/>
      <c r="I41" s="104"/>
      <c r="J41" s="6"/>
      <c r="K41" s="6"/>
      <c r="L41" s="105"/>
      <c r="M41" s="6"/>
    </row>
    <row r="42" spans="1:13" ht="12.75">
      <c r="A42" s="5" t="s">
        <v>42</v>
      </c>
      <c r="B42" s="57"/>
      <c r="C42" s="58"/>
      <c r="D42" s="58"/>
      <c r="E42" s="58"/>
      <c r="F42" s="58"/>
      <c r="G42" s="6"/>
      <c r="H42" s="6"/>
      <c r="I42" s="6"/>
      <c r="J42" s="6"/>
      <c r="K42" s="6"/>
      <c r="L42" s="105"/>
      <c r="M42" s="6"/>
    </row>
    <row r="43" spans="1:13" ht="12.75">
      <c r="A43" s="5" t="s">
        <v>43</v>
      </c>
      <c r="B43" s="57"/>
      <c r="C43" s="58"/>
      <c r="D43" s="58"/>
      <c r="E43" s="58"/>
      <c r="F43" s="58"/>
      <c r="J43" s="6"/>
      <c r="K43" s="6"/>
      <c r="L43" s="105"/>
      <c r="M43" s="6"/>
    </row>
    <row r="44" spans="1:13" ht="12.75">
      <c r="A44" s="5"/>
      <c r="B44" s="6"/>
      <c r="G44" s="6"/>
      <c r="H44" s="6"/>
      <c r="I44" s="6"/>
      <c r="J44" s="6"/>
      <c r="K44" s="6"/>
      <c r="L44" s="6"/>
      <c r="M44" s="6"/>
    </row>
    <row r="45" spans="10:13" ht="12.75">
      <c r="J45" s="6"/>
      <c r="K45" s="6"/>
      <c r="L45" s="6"/>
      <c r="M45" s="6"/>
    </row>
    <row r="46" spans="11:13" ht="12.75">
      <c r="K46" s="6"/>
      <c r="L46" s="6"/>
      <c r="M46" s="6"/>
    </row>
    <row r="47" ht="12.75">
      <c r="M47" s="6"/>
    </row>
    <row r="48" ht="12.75">
      <c r="A48" t="s">
        <v>58</v>
      </c>
    </row>
    <row r="50" spans="1:13" ht="38.25">
      <c r="A50" s="4" t="s">
        <v>4</v>
      </c>
      <c r="B50" s="4" t="s">
        <v>5</v>
      </c>
      <c r="C50" s="4" t="s">
        <v>6</v>
      </c>
      <c r="D50" s="4" t="s">
        <v>7</v>
      </c>
      <c r="E50" s="12" t="s">
        <v>137</v>
      </c>
      <c r="F50" s="12" t="s">
        <v>139</v>
      </c>
      <c r="G50" s="12" t="s">
        <v>138</v>
      </c>
      <c r="H50" s="12" t="s">
        <v>141</v>
      </c>
      <c r="I50" s="12" t="s">
        <v>142</v>
      </c>
      <c r="J50" s="12" t="s">
        <v>147</v>
      </c>
      <c r="K50" s="12" t="s">
        <v>145</v>
      </c>
      <c r="L50" s="12" t="s">
        <v>146</v>
      </c>
      <c r="M50" s="12" t="s">
        <v>144</v>
      </c>
    </row>
    <row r="51" spans="1:13" ht="12.75">
      <c r="A51" s="5" t="s">
        <v>8</v>
      </c>
      <c r="B51">
        <v>0</v>
      </c>
      <c r="C51" s="6">
        <v>0</v>
      </c>
      <c r="D51" s="6">
        <v>0</v>
      </c>
      <c r="E51" s="6"/>
      <c r="F51" s="6"/>
      <c r="G51" s="6">
        <f>G8</f>
        <v>0</v>
      </c>
      <c r="H51" s="6"/>
      <c r="I51" s="6"/>
      <c r="J51" s="6">
        <f>J8</f>
        <v>0</v>
      </c>
      <c r="K51" s="6"/>
      <c r="L51" s="6"/>
      <c r="M51" s="6">
        <f>M8</f>
        <v>0</v>
      </c>
    </row>
    <row r="52" spans="1:13" ht="12.75">
      <c r="A52" s="5" t="s">
        <v>9</v>
      </c>
      <c r="B52">
        <v>0</v>
      </c>
      <c r="C52" s="6">
        <v>0</v>
      </c>
      <c r="D52" s="6">
        <v>0</v>
      </c>
      <c r="E52" s="6"/>
      <c r="F52" s="6"/>
      <c r="G52" s="6">
        <f aca="true" t="shared" si="1" ref="G52:G86">G51+G9</f>
        <v>0</v>
      </c>
      <c r="H52" s="6"/>
      <c r="I52" s="6"/>
      <c r="J52" s="6">
        <f>J51+J9</f>
        <v>0</v>
      </c>
      <c r="K52" s="6"/>
      <c r="L52" s="6"/>
      <c r="M52" s="6">
        <f>M51+M9</f>
        <v>0</v>
      </c>
    </row>
    <row r="53" spans="1:13" ht="12.75">
      <c r="A53" s="5" t="s">
        <v>10</v>
      </c>
      <c r="B53">
        <v>0</v>
      </c>
      <c r="C53" s="6">
        <v>0</v>
      </c>
      <c r="D53" s="6">
        <v>0</v>
      </c>
      <c r="E53" s="6"/>
      <c r="F53" s="6"/>
      <c r="G53" s="6">
        <f t="shared" si="1"/>
        <v>0</v>
      </c>
      <c r="H53" s="6"/>
      <c r="I53" s="6"/>
      <c r="J53" s="6">
        <f>J52+J10</f>
        <v>0</v>
      </c>
      <c r="K53" s="6"/>
      <c r="L53" s="6"/>
      <c r="M53" s="6">
        <f>M52+M10</f>
        <v>0</v>
      </c>
    </row>
    <row r="54" spans="1:13" ht="12.75">
      <c r="A54" s="5" t="s">
        <v>11</v>
      </c>
      <c r="B54" s="6"/>
      <c r="C54" s="6"/>
      <c r="D54" s="6"/>
      <c r="E54" s="6"/>
      <c r="F54" s="6"/>
      <c r="G54" s="6">
        <f t="shared" si="1"/>
        <v>0</v>
      </c>
      <c r="H54" s="6"/>
      <c r="I54" s="6"/>
      <c r="J54" s="6">
        <f>J53+J11</f>
        <v>0</v>
      </c>
      <c r="K54" s="6"/>
      <c r="L54" s="6"/>
      <c r="M54" s="6">
        <f>M53+M11</f>
        <v>0</v>
      </c>
    </row>
    <row r="55" spans="1:13" ht="12.75">
      <c r="A55" s="5" t="s">
        <v>12</v>
      </c>
      <c r="B55" s="6"/>
      <c r="C55" s="6"/>
      <c r="D55" s="6"/>
      <c r="E55" s="6">
        <f aca="true" t="shared" si="2" ref="E55:E86">E54+E12</f>
        <v>0</v>
      </c>
      <c r="F55" s="6"/>
      <c r="G55" s="6">
        <f t="shared" si="1"/>
        <v>0</v>
      </c>
      <c r="H55" s="6"/>
      <c r="I55" s="6"/>
      <c r="J55" s="6">
        <f>J54+J12</f>
        <v>0</v>
      </c>
      <c r="K55" s="6"/>
      <c r="L55" s="6"/>
      <c r="M55" s="6">
        <f>M54+M12</f>
        <v>0</v>
      </c>
    </row>
    <row r="56" spans="1:13" ht="12.75">
      <c r="A56" s="5" t="s">
        <v>13</v>
      </c>
      <c r="B56" s="6"/>
      <c r="C56" s="6"/>
      <c r="D56" s="6"/>
      <c r="E56" s="6">
        <f t="shared" si="2"/>
        <v>0</v>
      </c>
      <c r="F56" s="6"/>
      <c r="G56" s="6">
        <f t="shared" si="1"/>
        <v>0</v>
      </c>
      <c r="H56" s="6">
        <f>H55+H13</f>
        <v>0</v>
      </c>
      <c r="I56" s="6"/>
      <c r="J56" s="6">
        <f>J55+J13</f>
        <v>0</v>
      </c>
      <c r="K56" s="6"/>
      <c r="L56" s="6"/>
      <c r="M56" s="6">
        <f>M55+M13</f>
        <v>0</v>
      </c>
    </row>
    <row r="57" spans="1:13" ht="12.75">
      <c r="A57" s="5" t="s">
        <v>14</v>
      </c>
      <c r="B57" s="6"/>
      <c r="C57" s="6"/>
      <c r="D57" s="6"/>
      <c r="E57" s="6">
        <f t="shared" si="2"/>
        <v>986458.1533159835</v>
      </c>
      <c r="F57" s="6"/>
      <c r="G57" s="6">
        <f t="shared" si="1"/>
        <v>0</v>
      </c>
      <c r="H57" s="6">
        <f aca="true" t="shared" si="3" ref="H57:H86">H56+H15</f>
        <v>0</v>
      </c>
      <c r="I57" s="6"/>
      <c r="J57" s="6">
        <f aca="true" t="shared" si="4" ref="J57:J86">J56+J15</f>
        <v>0</v>
      </c>
      <c r="K57" s="6">
        <f aca="true" t="shared" si="5" ref="K57:K86">K56+K15</f>
        <v>0</v>
      </c>
      <c r="L57" s="6"/>
      <c r="M57" s="6">
        <f aca="true" t="shared" si="6" ref="M57:M86">M56+M15</f>
        <v>0</v>
      </c>
    </row>
    <row r="58" spans="1:13" ht="12.75">
      <c r="A58" s="5" t="s">
        <v>15</v>
      </c>
      <c r="B58" s="6"/>
      <c r="C58" s="6"/>
      <c r="D58" s="6"/>
      <c r="E58" s="6">
        <f t="shared" si="2"/>
        <v>986458.1533159835</v>
      </c>
      <c r="F58" s="6"/>
      <c r="G58" s="6">
        <f t="shared" si="1"/>
        <v>0</v>
      </c>
      <c r="H58" s="6">
        <f t="shared" si="3"/>
        <v>147968.7229973975</v>
      </c>
      <c r="I58" s="6"/>
      <c r="J58" s="6">
        <f t="shared" si="4"/>
        <v>0</v>
      </c>
      <c r="K58" s="6">
        <f t="shared" si="5"/>
        <v>0</v>
      </c>
      <c r="L58" s="6"/>
      <c r="M58" s="6">
        <f t="shared" si="6"/>
        <v>0</v>
      </c>
    </row>
    <row r="59" spans="1:13" ht="12.75">
      <c r="A59" s="5" t="s">
        <v>16</v>
      </c>
      <c r="B59" s="6"/>
      <c r="C59" s="6"/>
      <c r="D59" s="6"/>
      <c r="E59" s="6">
        <f t="shared" si="2"/>
        <v>986458.1533159835</v>
      </c>
      <c r="F59" s="6"/>
      <c r="G59" s="6">
        <f t="shared" si="1"/>
        <v>0</v>
      </c>
      <c r="H59" s="6">
        <f t="shared" si="3"/>
        <v>295937.445994795</v>
      </c>
      <c r="I59" s="6"/>
      <c r="J59" s="6">
        <f t="shared" si="4"/>
        <v>0</v>
      </c>
      <c r="K59" s="6">
        <f t="shared" si="5"/>
        <v>0</v>
      </c>
      <c r="L59" s="6"/>
      <c r="M59" s="6">
        <f t="shared" si="6"/>
        <v>0</v>
      </c>
    </row>
    <row r="60" spans="1:13" ht="12.75">
      <c r="A60" s="5" t="s">
        <v>17</v>
      </c>
      <c r="B60" s="6"/>
      <c r="C60" s="6"/>
      <c r="D60" s="6"/>
      <c r="E60" s="6">
        <f t="shared" si="2"/>
        <v>986458.1533159835</v>
      </c>
      <c r="F60" s="6"/>
      <c r="G60" s="6">
        <f t="shared" si="1"/>
        <v>0</v>
      </c>
      <c r="H60" s="6">
        <f t="shared" si="3"/>
        <v>394583.26132639335</v>
      </c>
      <c r="I60" s="6"/>
      <c r="J60" s="6">
        <f t="shared" si="4"/>
        <v>0</v>
      </c>
      <c r="K60" s="6">
        <f t="shared" si="5"/>
        <v>147968.7229973975</v>
      </c>
      <c r="L60" s="6"/>
      <c r="M60" s="6">
        <f t="shared" si="6"/>
        <v>0</v>
      </c>
    </row>
    <row r="61" spans="1:13" ht="12.75">
      <c r="A61" s="5" t="s">
        <v>18</v>
      </c>
      <c r="B61" s="6"/>
      <c r="C61" s="6"/>
      <c r="D61" s="6"/>
      <c r="E61" s="6">
        <f t="shared" si="2"/>
        <v>986458.1533159835</v>
      </c>
      <c r="F61" s="6"/>
      <c r="G61" s="6">
        <f t="shared" si="1"/>
        <v>0</v>
      </c>
      <c r="H61" s="6">
        <f t="shared" si="3"/>
        <v>493229.0766579917</v>
      </c>
      <c r="I61" s="6"/>
      <c r="J61" s="6">
        <f t="shared" si="4"/>
        <v>0</v>
      </c>
      <c r="K61" s="6">
        <f t="shared" si="5"/>
        <v>295937.445994795</v>
      </c>
      <c r="L61" s="6"/>
      <c r="M61" s="6">
        <f t="shared" si="6"/>
        <v>0</v>
      </c>
    </row>
    <row r="62" spans="1:13" ht="12.75">
      <c r="A62" s="5" t="s">
        <v>19</v>
      </c>
      <c r="B62" s="6"/>
      <c r="C62" s="6"/>
      <c r="D62" s="6"/>
      <c r="E62" s="6">
        <f t="shared" si="2"/>
        <v>986458.1533159835</v>
      </c>
      <c r="F62" s="6"/>
      <c r="G62" s="6">
        <f t="shared" si="1"/>
        <v>0</v>
      </c>
      <c r="H62" s="6">
        <f t="shared" si="3"/>
        <v>591874.89198959</v>
      </c>
      <c r="I62" s="6"/>
      <c r="J62" s="6">
        <f t="shared" si="4"/>
        <v>0</v>
      </c>
      <c r="K62" s="6">
        <f t="shared" si="5"/>
        <v>394583.26132639335</v>
      </c>
      <c r="L62" s="6"/>
      <c r="M62" s="6">
        <f t="shared" si="6"/>
        <v>0</v>
      </c>
    </row>
    <row r="63" spans="1:13" ht="12.75">
      <c r="A63" s="5" t="s">
        <v>20</v>
      </c>
      <c r="B63" s="6"/>
      <c r="C63" s="6"/>
      <c r="D63" s="6"/>
      <c r="E63" s="6">
        <f t="shared" si="2"/>
        <v>986458.1533159835</v>
      </c>
      <c r="F63" s="6"/>
      <c r="G63" s="6">
        <f t="shared" si="1"/>
        <v>0</v>
      </c>
      <c r="H63" s="6">
        <f t="shared" si="3"/>
        <v>690520.7073211884</v>
      </c>
      <c r="I63" s="6"/>
      <c r="J63" s="6">
        <f t="shared" si="4"/>
        <v>0</v>
      </c>
      <c r="K63" s="6">
        <f t="shared" si="5"/>
        <v>493229.0766579917</v>
      </c>
      <c r="L63" s="6"/>
      <c r="M63" s="6">
        <f t="shared" si="6"/>
        <v>0</v>
      </c>
    </row>
    <row r="64" spans="1:13" ht="12.75">
      <c r="A64" s="5" t="s">
        <v>21</v>
      </c>
      <c r="B64" s="6"/>
      <c r="C64" s="6"/>
      <c r="D64" s="6"/>
      <c r="E64" s="6">
        <f t="shared" si="2"/>
        <v>986458.1533159835</v>
      </c>
      <c r="F64" s="6"/>
      <c r="G64" s="6">
        <f t="shared" si="1"/>
        <v>0</v>
      </c>
      <c r="H64" s="6">
        <f t="shared" si="3"/>
        <v>789166.5226527868</v>
      </c>
      <c r="I64" s="6"/>
      <c r="J64" s="6">
        <f t="shared" si="4"/>
        <v>0</v>
      </c>
      <c r="K64" s="6">
        <f t="shared" si="5"/>
        <v>591874.89198959</v>
      </c>
      <c r="L64" s="6"/>
      <c r="M64" s="6">
        <f t="shared" si="6"/>
        <v>0</v>
      </c>
    </row>
    <row r="65" spans="1:13" ht="12.75">
      <c r="A65" s="5" t="s">
        <v>22</v>
      </c>
      <c r="B65" s="6"/>
      <c r="C65" s="6"/>
      <c r="D65" s="6"/>
      <c r="E65" s="6">
        <f t="shared" si="2"/>
        <v>986458.1533159835</v>
      </c>
      <c r="F65" s="6"/>
      <c r="G65" s="6">
        <f t="shared" si="1"/>
        <v>0</v>
      </c>
      <c r="H65" s="6">
        <f t="shared" si="3"/>
        <v>887812.3379843852</v>
      </c>
      <c r="I65" s="6"/>
      <c r="J65" s="6">
        <f t="shared" si="4"/>
        <v>0</v>
      </c>
      <c r="K65" s="6">
        <f t="shared" si="5"/>
        <v>690520.7073211884</v>
      </c>
      <c r="L65" s="6"/>
      <c r="M65" s="6">
        <f t="shared" si="6"/>
        <v>0</v>
      </c>
    </row>
    <row r="66" spans="1:13" ht="12.75">
      <c r="A66" s="5" t="s">
        <v>23</v>
      </c>
      <c r="B66" s="6"/>
      <c r="C66" s="6"/>
      <c r="D66" s="6"/>
      <c r="E66" s="6">
        <f t="shared" si="2"/>
        <v>986458.1533159835</v>
      </c>
      <c r="F66" s="6"/>
      <c r="G66" s="6">
        <f t="shared" si="1"/>
        <v>0</v>
      </c>
      <c r="H66" s="6">
        <f t="shared" si="3"/>
        <v>986458.1533159836</v>
      </c>
      <c r="I66" s="6"/>
      <c r="J66" s="6">
        <f t="shared" si="4"/>
        <v>0</v>
      </c>
      <c r="K66" s="6">
        <f t="shared" si="5"/>
        <v>789166.5226527868</v>
      </c>
      <c r="L66" s="6"/>
      <c r="M66" s="6">
        <f t="shared" si="6"/>
        <v>0</v>
      </c>
    </row>
    <row r="67" spans="1:13" ht="12.75">
      <c r="A67" s="5" t="s">
        <v>24</v>
      </c>
      <c r="B67" s="6"/>
      <c r="C67" s="6"/>
      <c r="D67" s="6"/>
      <c r="E67" s="6">
        <f t="shared" si="2"/>
        <v>1763550.2533159833</v>
      </c>
      <c r="F67" s="6"/>
      <c r="G67" s="6">
        <f t="shared" si="1"/>
        <v>0</v>
      </c>
      <c r="H67" s="6">
        <f t="shared" si="3"/>
        <v>1064167.3633159837</v>
      </c>
      <c r="I67" s="6"/>
      <c r="J67" s="6">
        <f t="shared" si="4"/>
        <v>0</v>
      </c>
      <c r="K67" s="6">
        <f t="shared" si="5"/>
        <v>887812.3379843852</v>
      </c>
      <c r="L67" s="6"/>
      <c r="M67" s="6">
        <f t="shared" si="6"/>
        <v>0</v>
      </c>
    </row>
    <row r="68" spans="1:13" ht="12.75">
      <c r="A68" s="5" t="s">
        <v>25</v>
      </c>
      <c r="B68" s="6"/>
      <c r="C68" s="6"/>
      <c r="D68" s="6"/>
      <c r="E68" s="6">
        <f t="shared" si="2"/>
        <v>1763550.2533159833</v>
      </c>
      <c r="F68" s="6"/>
      <c r="G68" s="6">
        <f t="shared" si="1"/>
        <v>0</v>
      </c>
      <c r="H68" s="6">
        <f t="shared" si="3"/>
        <v>1141876.5733159836</v>
      </c>
      <c r="I68" s="6"/>
      <c r="J68" s="6">
        <f t="shared" si="4"/>
        <v>0</v>
      </c>
      <c r="K68" s="6">
        <f t="shared" si="5"/>
        <v>986458.1533159836</v>
      </c>
      <c r="L68" s="6"/>
      <c r="M68" s="6">
        <f t="shared" si="6"/>
        <v>0</v>
      </c>
    </row>
    <row r="69" spans="1:13" ht="12.75">
      <c r="A69" s="5" t="s">
        <v>26</v>
      </c>
      <c r="B69" s="6"/>
      <c r="C69" s="6"/>
      <c r="D69" s="6"/>
      <c r="E69" s="6">
        <f t="shared" si="2"/>
        <v>1763550.2533159833</v>
      </c>
      <c r="F69" s="6"/>
      <c r="G69" s="6">
        <f t="shared" si="1"/>
        <v>0</v>
      </c>
      <c r="H69" s="6">
        <f t="shared" si="3"/>
        <v>1219585.7833159836</v>
      </c>
      <c r="I69" s="6"/>
      <c r="J69" s="6">
        <f t="shared" si="4"/>
        <v>0</v>
      </c>
      <c r="K69" s="6">
        <f t="shared" si="5"/>
        <v>1064167.3633159837</v>
      </c>
      <c r="L69" s="6"/>
      <c r="M69" s="6">
        <f t="shared" si="6"/>
        <v>0</v>
      </c>
    </row>
    <row r="70" spans="1:13" ht="12.75">
      <c r="A70" s="5" t="s">
        <v>27</v>
      </c>
      <c r="B70" s="6"/>
      <c r="C70" s="6"/>
      <c r="D70" s="6"/>
      <c r="E70" s="6">
        <f t="shared" si="2"/>
        <v>1763550.2533159833</v>
      </c>
      <c r="F70" s="6"/>
      <c r="G70" s="6">
        <f t="shared" si="1"/>
        <v>0</v>
      </c>
      <c r="H70" s="6">
        <f t="shared" si="3"/>
        <v>1297294.9933159836</v>
      </c>
      <c r="I70" s="6"/>
      <c r="J70" s="6">
        <f t="shared" si="4"/>
        <v>0</v>
      </c>
      <c r="K70" s="6">
        <f t="shared" si="5"/>
        <v>1141876.5733159836</v>
      </c>
      <c r="L70" s="6"/>
      <c r="M70" s="6">
        <f t="shared" si="6"/>
        <v>0</v>
      </c>
    </row>
    <row r="71" spans="1:13" ht="12.75">
      <c r="A71" s="5" t="s">
        <v>28</v>
      </c>
      <c r="E71" s="6">
        <f t="shared" si="2"/>
        <v>1763550.2533159833</v>
      </c>
      <c r="G71" s="6">
        <f t="shared" si="1"/>
        <v>0</v>
      </c>
      <c r="H71" s="6">
        <f t="shared" si="3"/>
        <v>1336149.5983159835</v>
      </c>
      <c r="I71" s="6"/>
      <c r="J71" s="6">
        <f t="shared" si="4"/>
        <v>0</v>
      </c>
      <c r="K71" s="6">
        <f t="shared" si="5"/>
        <v>1219585.7833159836</v>
      </c>
      <c r="L71" s="6"/>
      <c r="M71" s="6">
        <f t="shared" si="6"/>
        <v>0</v>
      </c>
    </row>
    <row r="72" spans="1:13" ht="12.75">
      <c r="A72" s="5" t="s">
        <v>29</v>
      </c>
      <c r="E72" s="6">
        <f t="shared" si="2"/>
        <v>1763550.2533159833</v>
      </c>
      <c r="G72" s="6">
        <f t="shared" si="1"/>
        <v>0</v>
      </c>
      <c r="H72" s="6">
        <f t="shared" si="3"/>
        <v>1375004.2033159835</v>
      </c>
      <c r="I72" s="6"/>
      <c r="J72" s="6">
        <f t="shared" si="4"/>
        <v>0</v>
      </c>
      <c r="K72" s="6">
        <f t="shared" si="5"/>
        <v>1297294.9933159836</v>
      </c>
      <c r="L72" s="6"/>
      <c r="M72" s="6">
        <f t="shared" si="6"/>
        <v>0</v>
      </c>
    </row>
    <row r="73" spans="1:13" ht="12.75">
      <c r="A73" s="5" t="s">
        <v>30</v>
      </c>
      <c r="E73" s="6">
        <f t="shared" si="2"/>
        <v>1763550.2533159833</v>
      </c>
      <c r="G73" s="6">
        <f t="shared" si="1"/>
        <v>0</v>
      </c>
      <c r="H73" s="6">
        <f t="shared" si="3"/>
        <v>1413858.8083159835</v>
      </c>
      <c r="I73" s="6"/>
      <c r="J73" s="6">
        <f t="shared" si="4"/>
        <v>0</v>
      </c>
      <c r="K73" s="6">
        <f t="shared" si="5"/>
        <v>1336149.5983159835</v>
      </c>
      <c r="L73" s="6"/>
      <c r="M73" s="6">
        <f t="shared" si="6"/>
        <v>0</v>
      </c>
    </row>
    <row r="74" spans="1:13" ht="12.75">
      <c r="A74" s="5" t="s">
        <v>31</v>
      </c>
      <c r="E74" s="6">
        <f t="shared" si="2"/>
        <v>1763550.2533159833</v>
      </c>
      <c r="G74" s="6">
        <f t="shared" si="1"/>
        <v>0</v>
      </c>
      <c r="H74" s="6">
        <f t="shared" si="3"/>
        <v>1452713.4133159835</v>
      </c>
      <c r="I74" s="6"/>
      <c r="J74" s="6">
        <f t="shared" si="4"/>
        <v>0</v>
      </c>
      <c r="K74" s="6">
        <f t="shared" si="5"/>
        <v>1375004.2033159835</v>
      </c>
      <c r="L74" s="6"/>
      <c r="M74" s="6">
        <f t="shared" si="6"/>
        <v>0</v>
      </c>
    </row>
    <row r="75" spans="1:13" ht="12.75">
      <c r="A75" s="5" t="s">
        <v>32</v>
      </c>
      <c r="E75" s="6">
        <f t="shared" si="2"/>
        <v>1763550.2533159833</v>
      </c>
      <c r="G75" s="6">
        <f t="shared" si="1"/>
        <v>0</v>
      </c>
      <c r="H75" s="6">
        <f t="shared" si="3"/>
        <v>1491568.0183159835</v>
      </c>
      <c r="I75" s="6"/>
      <c r="J75" s="6">
        <f t="shared" si="4"/>
        <v>0</v>
      </c>
      <c r="K75" s="6">
        <f t="shared" si="5"/>
        <v>1413858.8083159835</v>
      </c>
      <c r="L75" s="6"/>
      <c r="M75" s="6">
        <f t="shared" si="6"/>
        <v>0</v>
      </c>
    </row>
    <row r="76" spans="1:13" ht="12.75">
      <c r="A76" s="5" t="s">
        <v>33</v>
      </c>
      <c r="E76" s="6">
        <f t="shared" si="2"/>
        <v>1763550.2533159833</v>
      </c>
      <c r="G76" s="6">
        <f t="shared" si="1"/>
        <v>0</v>
      </c>
      <c r="H76" s="6">
        <f t="shared" si="3"/>
        <v>1530422.6233159835</v>
      </c>
      <c r="I76" s="6"/>
      <c r="J76" s="6">
        <f t="shared" si="4"/>
        <v>0</v>
      </c>
      <c r="K76" s="6">
        <f t="shared" si="5"/>
        <v>1452713.4133159835</v>
      </c>
      <c r="L76" s="6"/>
      <c r="M76" s="6">
        <f t="shared" si="6"/>
        <v>0</v>
      </c>
    </row>
    <row r="77" spans="1:13" ht="12.75">
      <c r="A77" s="5" t="s">
        <v>34</v>
      </c>
      <c r="E77" s="6">
        <f t="shared" si="2"/>
        <v>1763550.2533159833</v>
      </c>
      <c r="G77" s="6">
        <f t="shared" si="1"/>
        <v>0</v>
      </c>
      <c r="H77" s="6">
        <f t="shared" si="3"/>
        <v>1608131.8333159834</v>
      </c>
      <c r="I77" s="6"/>
      <c r="J77" s="6">
        <f t="shared" si="4"/>
        <v>0</v>
      </c>
      <c r="K77" s="6">
        <f t="shared" si="5"/>
        <v>1491568.0183159835</v>
      </c>
      <c r="L77" s="6"/>
      <c r="M77" s="6">
        <f t="shared" si="6"/>
        <v>0</v>
      </c>
    </row>
    <row r="78" spans="1:13" ht="12.75">
      <c r="A78" s="5" t="s">
        <v>35</v>
      </c>
      <c r="E78" s="6">
        <f t="shared" si="2"/>
        <v>1763550.2533159833</v>
      </c>
      <c r="G78" s="6">
        <f t="shared" si="1"/>
        <v>0</v>
      </c>
      <c r="H78" s="6">
        <f t="shared" si="3"/>
        <v>1608131.8333159834</v>
      </c>
      <c r="I78" s="6"/>
      <c r="J78" s="6">
        <f t="shared" si="4"/>
        <v>0</v>
      </c>
      <c r="K78" s="6">
        <f t="shared" si="5"/>
        <v>1530422.6233159835</v>
      </c>
      <c r="L78" s="6"/>
      <c r="M78" s="6">
        <f t="shared" si="6"/>
        <v>0</v>
      </c>
    </row>
    <row r="79" spans="1:13" ht="12.75">
      <c r="A79" s="5" t="s">
        <v>36</v>
      </c>
      <c r="E79" s="6">
        <f t="shared" si="2"/>
        <v>1763550.2533159833</v>
      </c>
      <c r="G79" s="6">
        <f t="shared" si="1"/>
        <v>0</v>
      </c>
      <c r="H79" s="6">
        <f t="shared" si="3"/>
        <v>1763550.2533159833</v>
      </c>
      <c r="I79" s="6"/>
      <c r="J79" s="6">
        <f t="shared" si="4"/>
        <v>0</v>
      </c>
      <c r="K79" s="6">
        <f t="shared" si="5"/>
        <v>1608131.8333159834</v>
      </c>
      <c r="L79" s="6"/>
      <c r="M79" s="6">
        <f t="shared" si="6"/>
        <v>0</v>
      </c>
    </row>
    <row r="80" spans="1:13" ht="12.75">
      <c r="A80" s="5" t="s">
        <v>37</v>
      </c>
      <c r="E80" s="6">
        <f t="shared" si="2"/>
        <v>1763550.2533159833</v>
      </c>
      <c r="G80" s="6">
        <f t="shared" si="1"/>
        <v>0</v>
      </c>
      <c r="H80" s="6">
        <f t="shared" si="3"/>
        <v>1763550.2533159833</v>
      </c>
      <c r="I80" s="6"/>
      <c r="J80" s="6">
        <f t="shared" si="4"/>
        <v>0</v>
      </c>
      <c r="K80" s="6">
        <f t="shared" si="5"/>
        <v>1685841.0433159834</v>
      </c>
      <c r="L80" s="6"/>
      <c r="M80" s="6">
        <f t="shared" si="6"/>
        <v>0</v>
      </c>
    </row>
    <row r="81" spans="1:13" ht="12.75">
      <c r="A81" s="5" t="s">
        <v>38</v>
      </c>
      <c r="E81" s="6">
        <f t="shared" si="2"/>
        <v>1763550.2533159833</v>
      </c>
      <c r="G81" s="6">
        <f t="shared" si="1"/>
        <v>0</v>
      </c>
      <c r="H81" s="6">
        <f t="shared" si="3"/>
        <v>1763550.2533159833</v>
      </c>
      <c r="I81" s="6"/>
      <c r="J81" s="6">
        <f t="shared" si="4"/>
        <v>0</v>
      </c>
      <c r="K81" s="6">
        <f t="shared" si="5"/>
        <v>1763550.2533159833</v>
      </c>
      <c r="L81" s="6"/>
      <c r="M81" s="6">
        <f t="shared" si="6"/>
        <v>0</v>
      </c>
    </row>
    <row r="82" spans="1:13" ht="12.75">
      <c r="A82" s="5" t="s">
        <v>39</v>
      </c>
      <c r="E82" s="6">
        <f t="shared" si="2"/>
        <v>1763550.2533159833</v>
      </c>
      <c r="G82" s="6">
        <f t="shared" si="1"/>
        <v>0</v>
      </c>
      <c r="H82" s="6">
        <f t="shared" si="3"/>
        <v>1763550.2533159833</v>
      </c>
      <c r="I82" s="6"/>
      <c r="J82" s="6">
        <f t="shared" si="4"/>
        <v>0</v>
      </c>
      <c r="K82" s="6">
        <f t="shared" si="5"/>
        <v>1763550.2533159833</v>
      </c>
      <c r="L82" s="6"/>
      <c r="M82" s="6">
        <f t="shared" si="6"/>
        <v>0</v>
      </c>
    </row>
    <row r="83" spans="1:13" ht="12.75">
      <c r="A83" s="5" t="s">
        <v>40</v>
      </c>
      <c r="E83" s="6">
        <f t="shared" si="2"/>
        <v>1763550.2533159833</v>
      </c>
      <c r="G83" s="6">
        <f t="shared" si="1"/>
        <v>0</v>
      </c>
      <c r="H83" s="6">
        <f t="shared" si="3"/>
        <v>1763550.2533159833</v>
      </c>
      <c r="I83" s="6"/>
      <c r="J83" s="6">
        <f t="shared" si="4"/>
        <v>0</v>
      </c>
      <c r="K83" s="6">
        <f t="shared" si="5"/>
        <v>1763550.2533159833</v>
      </c>
      <c r="L83" s="6"/>
      <c r="M83" s="6">
        <f t="shared" si="6"/>
        <v>0</v>
      </c>
    </row>
    <row r="84" spans="1:13" ht="12.75">
      <c r="A84" s="5" t="s">
        <v>41</v>
      </c>
      <c r="E84" s="6">
        <f t="shared" si="2"/>
        <v>1763550.2533159833</v>
      </c>
      <c r="G84" s="6">
        <f t="shared" si="1"/>
        <v>0</v>
      </c>
      <c r="H84" s="6">
        <f t="shared" si="3"/>
        <v>1763550.2533159833</v>
      </c>
      <c r="I84" s="6"/>
      <c r="J84" s="6">
        <f t="shared" si="4"/>
        <v>0</v>
      </c>
      <c r="K84" s="6">
        <f t="shared" si="5"/>
        <v>1763550.2533159833</v>
      </c>
      <c r="L84" s="6"/>
      <c r="M84" s="6">
        <f t="shared" si="6"/>
        <v>0</v>
      </c>
    </row>
    <row r="85" spans="1:13" ht="12.75">
      <c r="A85" s="5" t="s">
        <v>42</v>
      </c>
      <c r="E85" s="6">
        <f t="shared" si="2"/>
        <v>1763550.2533159833</v>
      </c>
      <c r="G85" s="6">
        <f t="shared" si="1"/>
        <v>0</v>
      </c>
      <c r="H85" s="6">
        <f t="shared" si="3"/>
        <v>1763550.2533159833</v>
      </c>
      <c r="I85" s="6"/>
      <c r="J85" s="6">
        <f t="shared" si="4"/>
        <v>0</v>
      </c>
      <c r="K85" s="6">
        <f t="shared" si="5"/>
        <v>1763550.2533159833</v>
      </c>
      <c r="L85" s="6"/>
      <c r="M85" s="6">
        <f t="shared" si="6"/>
        <v>0</v>
      </c>
    </row>
    <row r="86" spans="1:13" ht="12.75">
      <c r="A86" s="5" t="s">
        <v>43</v>
      </c>
      <c r="E86" s="6">
        <f t="shared" si="2"/>
        <v>1763550.2533159833</v>
      </c>
      <c r="G86" s="6">
        <f t="shared" si="1"/>
        <v>0</v>
      </c>
      <c r="H86" s="6">
        <f t="shared" si="3"/>
        <v>1763550.2533159833</v>
      </c>
      <c r="I86" s="6"/>
      <c r="J86" s="6">
        <f t="shared" si="4"/>
        <v>0</v>
      </c>
      <c r="K86" s="6">
        <f t="shared" si="5"/>
        <v>1763550.2533159833</v>
      </c>
      <c r="L86" s="6"/>
      <c r="M86" s="6">
        <f t="shared" si="6"/>
        <v>0</v>
      </c>
    </row>
    <row r="87" spans="5:11" ht="12.75">
      <c r="E87" s="6"/>
      <c r="H87" s="6"/>
      <c r="K87" s="6"/>
    </row>
    <row r="88" ht="12.75">
      <c r="H88" s="66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O58"/>
  <sheetViews>
    <sheetView view="pageBreakPreview" zoomScaleSheetLayoutView="100" workbookViewId="0" topLeftCell="A13">
      <selection activeCell="H17" sqref="H17"/>
    </sheetView>
  </sheetViews>
  <sheetFormatPr defaultColWidth="9.140625" defaultRowHeight="12.75"/>
  <cols>
    <col min="1" max="1" width="14.140625" style="0" customWidth="1"/>
    <col min="2" max="2" width="13.421875" style="0" bestFit="1" customWidth="1"/>
    <col min="3" max="3" width="17.8515625" style="0" customWidth="1"/>
    <col min="4" max="4" width="18.57421875" style="0" customWidth="1"/>
    <col min="5" max="6" width="16.140625" style="0" customWidth="1"/>
    <col min="7" max="7" width="13.28125" style="0" customWidth="1"/>
    <col min="8" max="9" width="11.140625" style="0" customWidth="1"/>
    <col min="10" max="10" width="14.140625" style="0" customWidth="1"/>
    <col min="11" max="12" width="15.7109375" style="0" customWidth="1"/>
    <col min="13" max="15" width="13.421875" style="0" bestFit="1" customWidth="1"/>
  </cols>
  <sheetData>
    <row r="2" spans="1:15" ht="55.5" customHeight="1">
      <c r="A2" s="139" t="s">
        <v>159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03"/>
      <c r="O2" s="103"/>
    </row>
    <row r="4" spans="1:9" ht="15.75">
      <c r="A4" s="25" t="s">
        <v>61</v>
      </c>
      <c r="G4" s="25" t="s">
        <v>53</v>
      </c>
      <c r="H4" s="25"/>
      <c r="I4" s="25"/>
    </row>
    <row r="5" spans="1:9" ht="15.75">
      <c r="A5" t="s">
        <v>143</v>
      </c>
      <c r="C5" s="26">
        <f>11363886*0.85</f>
        <v>9659303.1</v>
      </c>
      <c r="G5" s="25"/>
      <c r="H5" s="25"/>
      <c r="I5" s="25"/>
    </row>
    <row r="6" spans="1:3" ht="12.75">
      <c r="A6" t="s">
        <v>54</v>
      </c>
      <c r="C6" s="26">
        <f>H12*0.07</f>
        <v>3380755.91</v>
      </c>
    </row>
    <row r="7" spans="1:13" ht="12.75">
      <c r="A7" s="137" t="s">
        <v>0</v>
      </c>
      <c r="B7" s="138"/>
      <c r="C7" s="138"/>
      <c r="D7" s="71"/>
      <c r="E7" s="69"/>
      <c r="F7" s="69"/>
      <c r="G7" s="31" t="s">
        <v>48</v>
      </c>
      <c r="H7" s="32"/>
      <c r="I7" s="32"/>
      <c r="J7" s="42"/>
      <c r="K7" s="125"/>
      <c r="L7" s="16"/>
      <c r="M7" s="16"/>
    </row>
    <row r="8" spans="1:12" ht="82.5" customHeight="1">
      <c r="A8" s="86" t="s">
        <v>1</v>
      </c>
      <c r="B8" s="85" t="s">
        <v>2</v>
      </c>
      <c r="C8" s="85" t="s">
        <v>47</v>
      </c>
      <c r="D8" s="85" t="s">
        <v>132</v>
      </c>
      <c r="E8" s="16"/>
      <c r="F8" s="16"/>
      <c r="G8" s="92"/>
      <c r="H8" s="93" t="s">
        <v>44</v>
      </c>
      <c r="I8" s="93" t="s">
        <v>49</v>
      </c>
      <c r="J8" s="93" t="s">
        <v>45</v>
      </c>
      <c r="K8" s="12"/>
      <c r="L8" s="126"/>
    </row>
    <row r="9" spans="1:12" ht="15.75">
      <c r="A9" s="21"/>
      <c r="B9" s="22"/>
      <c r="C9" s="27"/>
      <c r="D9" s="30"/>
      <c r="E9" s="16"/>
      <c r="F9" s="16"/>
      <c r="G9" s="109" t="s">
        <v>50</v>
      </c>
      <c r="H9" s="110">
        <v>25000000</v>
      </c>
      <c r="I9" s="111">
        <f>H9/$H$12</f>
        <v>0.5176357141974204</v>
      </c>
      <c r="J9" s="110">
        <f>I9*$C$6</f>
        <v>1750000</v>
      </c>
      <c r="K9" s="127"/>
      <c r="L9" s="126"/>
    </row>
    <row r="10" spans="1:12" ht="12.75">
      <c r="A10" s="2">
        <v>2007</v>
      </c>
      <c r="B10" s="23">
        <v>3512400</v>
      </c>
      <c r="C10" s="28">
        <f aca="true" t="shared" si="0" ref="C10:C16">B10/$B$17</f>
        <v>0.07272574730188078</v>
      </c>
      <c r="D10" s="9">
        <f aca="true" t="shared" si="1" ref="D10:D16">C10*$C$5</f>
        <v>702480.0363628736</v>
      </c>
      <c r="E10" s="16"/>
      <c r="F10" s="16"/>
      <c r="G10" s="106" t="s">
        <v>51</v>
      </c>
      <c r="H10" s="107">
        <v>9659303</v>
      </c>
      <c r="I10" s="108">
        <f>H10/$H$12</f>
        <v>0.20000000828217143</v>
      </c>
      <c r="J10" s="107">
        <f>I10*$C$6</f>
        <v>676151.2100000001</v>
      </c>
      <c r="K10" s="121"/>
      <c r="L10" s="126"/>
    </row>
    <row r="11" spans="1:12" ht="12.75">
      <c r="A11" s="2">
        <v>2008</v>
      </c>
      <c r="B11" s="23">
        <v>5141700</v>
      </c>
      <c r="C11" s="28">
        <f t="shared" si="0"/>
        <v>0.10646110206755506</v>
      </c>
      <c r="D11" s="9">
        <f t="shared" si="1"/>
        <v>1028340.053230551</v>
      </c>
      <c r="E11" s="16"/>
      <c r="F11" s="16"/>
      <c r="G11" s="92" t="s">
        <v>52</v>
      </c>
      <c r="H11" s="100">
        <v>13637210</v>
      </c>
      <c r="I11" s="101">
        <f>H11/$H$12</f>
        <v>0.28236427752040816</v>
      </c>
      <c r="J11" s="102">
        <f>I11*$C$6</f>
        <v>954604.7000000001</v>
      </c>
      <c r="K11" s="112"/>
      <c r="L11" s="126"/>
    </row>
    <row r="12" spans="1:12" ht="12.75">
      <c r="A12" s="2">
        <v>2009</v>
      </c>
      <c r="B12" s="23">
        <v>7001019</v>
      </c>
      <c r="C12" s="28">
        <f t="shared" si="0"/>
        <v>0.1449590988069884</v>
      </c>
      <c r="D12" s="9">
        <f t="shared" si="1"/>
        <v>1400203.8724795494</v>
      </c>
      <c r="E12" s="16"/>
      <c r="F12" s="16"/>
      <c r="G12" s="92" t="s">
        <v>46</v>
      </c>
      <c r="H12" s="100">
        <f>SUM(H9:H11)</f>
        <v>48296513</v>
      </c>
      <c r="I12" s="92"/>
      <c r="J12" s="102">
        <f>SUM(J9:J11)</f>
        <v>3380755.91</v>
      </c>
      <c r="K12" s="112"/>
      <c r="L12" s="126"/>
    </row>
    <row r="13" spans="1:6" ht="12.75">
      <c r="A13" s="2">
        <v>2010</v>
      </c>
      <c r="B13" s="23">
        <v>7377256</v>
      </c>
      <c r="C13" s="28">
        <f t="shared" si="0"/>
        <v>0.1527492471350882</v>
      </c>
      <c r="D13" s="9">
        <f t="shared" si="1"/>
        <v>1475451.2763746234</v>
      </c>
      <c r="E13" s="16"/>
      <c r="F13" s="16"/>
    </row>
    <row r="14" spans="1:6" ht="12.75">
      <c r="A14" s="2">
        <v>2011</v>
      </c>
      <c r="B14" s="23">
        <v>7898065</v>
      </c>
      <c r="C14" s="28">
        <f t="shared" si="0"/>
        <v>0.16353282068210598</v>
      </c>
      <c r="D14" s="9">
        <f t="shared" si="1"/>
        <v>1579613.0817664103</v>
      </c>
      <c r="E14" s="16"/>
      <c r="F14" s="16"/>
    </row>
    <row r="15" spans="1:6" ht="12.75">
      <c r="A15" s="2">
        <v>2012</v>
      </c>
      <c r="B15" s="23">
        <v>8421780</v>
      </c>
      <c r="C15" s="28">
        <f t="shared" si="0"/>
        <v>0.17437656420454206</v>
      </c>
      <c r="D15" s="9">
        <f t="shared" si="1"/>
        <v>1684356.087188282</v>
      </c>
      <c r="E15" s="16"/>
      <c r="F15" s="16"/>
    </row>
    <row r="16" spans="1:12" ht="12.75">
      <c r="A16" s="2">
        <v>2013</v>
      </c>
      <c r="B16" s="23">
        <v>8944293</v>
      </c>
      <c r="C16" s="28">
        <f t="shared" si="0"/>
        <v>0.1851954198018395</v>
      </c>
      <c r="D16" s="9">
        <f t="shared" si="1"/>
        <v>1788858.6925977096</v>
      </c>
      <c r="E16" s="16"/>
      <c r="F16" s="16"/>
      <c r="J16" s="6"/>
      <c r="K16" s="6"/>
      <c r="L16" s="6"/>
    </row>
    <row r="17" spans="1:6" ht="12.75">
      <c r="A17" s="3" t="s">
        <v>3</v>
      </c>
      <c r="B17" s="24">
        <f>SUM(B10:B16)</f>
        <v>48296513</v>
      </c>
      <c r="C17" s="29"/>
      <c r="D17" s="10">
        <f>SUM(D10:D16)</f>
        <v>9659303.099999998</v>
      </c>
      <c r="E17" s="16"/>
      <c r="F17" s="16"/>
    </row>
    <row r="20" ht="15.75">
      <c r="A20" s="25" t="s">
        <v>60</v>
      </c>
    </row>
    <row r="21" spans="1:13" ht="51">
      <c r="A21" s="77" t="s">
        <v>4</v>
      </c>
      <c r="B21" s="78" t="s">
        <v>5</v>
      </c>
      <c r="C21" s="78" t="s">
        <v>6</v>
      </c>
      <c r="D21" s="78" t="s">
        <v>7</v>
      </c>
      <c r="E21" s="119" t="s">
        <v>182</v>
      </c>
      <c r="F21" s="119" t="s">
        <v>139</v>
      </c>
      <c r="G21" s="119" t="s">
        <v>138</v>
      </c>
      <c r="H21" s="119" t="s">
        <v>185</v>
      </c>
      <c r="I21" s="119" t="s">
        <v>142</v>
      </c>
      <c r="J21" s="119" t="s">
        <v>147</v>
      </c>
      <c r="K21" s="119" t="s">
        <v>187</v>
      </c>
      <c r="L21" s="119" t="s">
        <v>146</v>
      </c>
      <c r="M21" s="119" t="s">
        <v>144</v>
      </c>
    </row>
    <row r="22" spans="1:13" ht="12.75">
      <c r="A22" s="71"/>
      <c r="B22" s="79"/>
      <c r="C22" s="79"/>
      <c r="D22" s="79"/>
      <c r="E22" s="81">
        <v>0</v>
      </c>
      <c r="F22" s="81"/>
      <c r="G22" s="81">
        <v>0</v>
      </c>
      <c r="H22" s="81">
        <v>0</v>
      </c>
      <c r="I22" s="81"/>
      <c r="J22" s="81">
        <v>0</v>
      </c>
      <c r="K22" s="81">
        <v>0</v>
      </c>
      <c r="L22" s="81"/>
      <c r="M22" s="81">
        <v>0</v>
      </c>
    </row>
    <row r="23" spans="1:13" ht="12.75">
      <c r="A23" s="82" t="s">
        <v>8</v>
      </c>
      <c r="B23" s="83">
        <v>0</v>
      </c>
      <c r="C23" s="83">
        <v>0</v>
      </c>
      <c r="D23" s="83">
        <v>0</v>
      </c>
      <c r="E23" s="81">
        <v>0</v>
      </c>
      <c r="F23" s="81"/>
      <c r="G23" s="81">
        <v>0</v>
      </c>
      <c r="H23" s="81">
        <v>0</v>
      </c>
      <c r="I23" s="81"/>
      <c r="J23" s="81">
        <v>0</v>
      </c>
      <c r="K23" s="81">
        <v>0</v>
      </c>
      <c r="L23" s="81"/>
      <c r="M23" s="81">
        <f>'IM 1.1'!M23+'IM 1.2'!M23+'IM 1.3'!M23+'IM 1.4'!M23</f>
        <v>0</v>
      </c>
    </row>
    <row r="24" spans="1:13" ht="12.75">
      <c r="A24" s="82" t="s">
        <v>9</v>
      </c>
      <c r="B24" s="83">
        <v>0</v>
      </c>
      <c r="C24" s="83">
        <v>0</v>
      </c>
      <c r="D24" s="83">
        <v>0</v>
      </c>
      <c r="E24" s="81">
        <v>0</v>
      </c>
      <c r="F24" s="81"/>
      <c r="G24" s="81">
        <f>'IM 1.1'!G24+'IM 1.2'!G24+'IM 1.3'!G24+'IM 1.4'!G24</f>
        <v>0</v>
      </c>
      <c r="H24" s="81">
        <v>0</v>
      </c>
      <c r="I24" s="81"/>
      <c r="J24" s="81">
        <f>'IM 1.1'!J24+'IM 1.2'!J24+'IM 1.3'!J24+'IM 1.4'!J24</f>
        <v>0</v>
      </c>
      <c r="K24" s="81">
        <v>0</v>
      </c>
      <c r="L24" s="81"/>
      <c r="M24" s="81">
        <f>'IM 1.1'!M24+'IM 1.2'!M24+'IM 1.3'!M24+'IM 1.4'!M24</f>
        <v>0</v>
      </c>
    </row>
    <row r="25" spans="1:13" ht="12.75">
      <c r="A25" s="82" t="s">
        <v>10</v>
      </c>
      <c r="B25" s="83">
        <v>0</v>
      </c>
      <c r="C25" s="83">
        <v>0</v>
      </c>
      <c r="D25" s="83">
        <v>0</v>
      </c>
      <c r="E25" s="81">
        <v>0</v>
      </c>
      <c r="F25" s="81"/>
      <c r="G25" s="81">
        <f>'IM 1.1'!G25+'IM 1.2'!G25+'IM 1.3'!G25+'IM 1.4'!G25</f>
        <v>0</v>
      </c>
      <c r="H25" s="81">
        <v>0</v>
      </c>
      <c r="I25" s="81"/>
      <c r="J25" s="81">
        <f>'IM 1.1'!J25+'IM 1.2'!J25+'IM 1.3'!J25+'IM 1.4'!J25</f>
        <v>0</v>
      </c>
      <c r="K25" s="81">
        <v>0</v>
      </c>
      <c r="L25" s="81"/>
      <c r="M25" s="81">
        <f>'IM 1.1'!M25+'IM 1.2'!M25+'IM 1.3'!M25+'IM 1.4'!M25</f>
        <v>0</v>
      </c>
    </row>
    <row r="26" spans="1:13" ht="12.75">
      <c r="A26" s="82" t="s">
        <v>11</v>
      </c>
      <c r="B26" s="83">
        <f>D10</f>
        <v>702480.0363628736</v>
      </c>
      <c r="C26" s="83">
        <v>0</v>
      </c>
      <c r="D26" s="83">
        <v>0</v>
      </c>
      <c r="E26" s="81">
        <v>0</v>
      </c>
      <c r="F26" s="81"/>
      <c r="G26" s="81">
        <v>0</v>
      </c>
      <c r="H26" s="81">
        <v>0</v>
      </c>
      <c r="I26" s="81"/>
      <c r="J26" s="81">
        <v>0</v>
      </c>
      <c r="K26" s="81">
        <v>0</v>
      </c>
      <c r="L26" s="81"/>
      <c r="M26" s="81">
        <v>0</v>
      </c>
    </row>
    <row r="27" spans="1:13" ht="12.75">
      <c r="A27" s="82" t="s">
        <v>12</v>
      </c>
      <c r="B27" s="83">
        <f>B26+D11</f>
        <v>1730820.0895934245</v>
      </c>
      <c r="C27" s="83">
        <v>0</v>
      </c>
      <c r="D27" s="83">
        <v>0</v>
      </c>
      <c r="E27" s="81">
        <v>0</v>
      </c>
      <c r="F27" s="81"/>
      <c r="G27" s="81"/>
      <c r="H27" s="81">
        <v>0</v>
      </c>
      <c r="I27" s="81"/>
      <c r="J27" s="81">
        <v>0</v>
      </c>
      <c r="K27" s="81">
        <v>0</v>
      </c>
      <c r="L27" s="81"/>
      <c r="M27" s="81">
        <v>0</v>
      </c>
    </row>
    <row r="28" spans="1:13" ht="12.75">
      <c r="A28" s="82" t="s">
        <v>13</v>
      </c>
      <c r="B28" s="83">
        <f>B27</f>
        <v>1730820.0895934245</v>
      </c>
      <c r="C28" s="83">
        <v>0</v>
      </c>
      <c r="D28" s="83">
        <v>0</v>
      </c>
      <c r="E28" s="81">
        <f>'Project 1'!E52+'Project 3'!E52+'Project 4'!E52+'Project 2'!E52+'Project 5'!E52+'Project 6'!E52</f>
        <v>1520224</v>
      </c>
      <c r="F28" s="81"/>
      <c r="G28" s="81"/>
      <c r="H28" s="81">
        <f>'Project 1'!H52+'Project 3'!H52+'Project 4'!H52+'Project 2'!H52+'Project 5'!H52+'Project 6'!H52</f>
        <v>0</v>
      </c>
      <c r="I28" s="81">
        <f>'Project 1'!I52+'Project 3'!I52+'Project 4'!I52+'Project 2'!I52+'Project 5'!I52+'Project 6'!I52</f>
        <v>0</v>
      </c>
      <c r="J28" s="81">
        <f>'Project 1'!J52+'Project 3'!J52+'Project 4'!J52+'Project 2'!J52+'Project 5'!J52+'Project 6'!J52</f>
        <v>0</v>
      </c>
      <c r="K28" s="81">
        <f>'Project 1'!K52+'Project 3'!K52+'Project 4'!K52+'Project 2'!K52+'Project 5'!K52+'Project 6'!K52</f>
        <v>0</v>
      </c>
      <c r="L28" s="81">
        <f>'Project 1'!L52+'Project 3'!L52+'Project 4'!L52+'Project 2'!L52+'Project 5'!L52+'Project 6'!L52</f>
        <v>0</v>
      </c>
      <c r="M28" s="81">
        <f>'Project 1'!M52+'Project 3'!M52+'Project 4'!M52+'Project 2'!M52+'Project 5'!M52+'Project 6'!M52</f>
        <v>0</v>
      </c>
    </row>
    <row r="29" spans="1:13" ht="12.75">
      <c r="A29" s="82" t="s">
        <v>14</v>
      </c>
      <c r="B29" s="83">
        <f>B28</f>
        <v>1730820.0895934245</v>
      </c>
      <c r="C29" s="83">
        <v>0</v>
      </c>
      <c r="D29" s="83">
        <v>0</v>
      </c>
      <c r="E29" s="81">
        <f>'Project 1'!E53+'Project 3'!E53+'Project 4'!E53+'Project 2'!E53+'Project 5'!E53+'Project 6'!E53</f>
        <v>4119120.632120379</v>
      </c>
      <c r="F29" s="81"/>
      <c r="G29" s="81"/>
      <c r="H29" s="81">
        <f>'Project 1'!H53+'Project 3'!H53+'Project 4'!H53+'Project 2'!H53+'Project 5'!H53+'Project 6'!H53</f>
        <v>0</v>
      </c>
      <c r="I29" s="81"/>
      <c r="J29" s="81"/>
      <c r="K29" s="81">
        <f>'Project 1'!K53+'Project 3'!K53+'Project 4'!K53+'Project 2'!K53+'Project 5'!K53+'Project 6'!K53</f>
        <v>0</v>
      </c>
      <c r="L29" s="81"/>
      <c r="M29" s="81">
        <f>'Project 1'!M53+'Project 3'!M53+'Project 4'!M53+'Project 2'!M53+'Project 5'!M53+'Project 6'!M53</f>
        <v>0</v>
      </c>
    </row>
    <row r="30" spans="1:13" ht="12.75">
      <c r="A30" s="82" t="s">
        <v>15</v>
      </c>
      <c r="B30" s="83">
        <f>B29</f>
        <v>1730820.0895934245</v>
      </c>
      <c r="C30" s="83">
        <v>0</v>
      </c>
      <c r="D30" s="83">
        <v>0</v>
      </c>
      <c r="E30" s="81">
        <f>'Project 1'!E54+'Project 3'!E54+'Project 4'!E54+'Project 2'!E54+'Project 5'!E54+'Project 6'!E54</f>
        <v>4517673.632120378</v>
      </c>
      <c r="F30" s="81"/>
      <c r="G30" s="81"/>
      <c r="H30" s="81">
        <f>'Project 1'!H54+'Project 3'!H54+'Project 4'!H54+'Project 2'!H54+'Project 5'!H54+'Project 6'!H54</f>
        <v>747812.9264240757</v>
      </c>
      <c r="I30" s="81"/>
      <c r="J30" s="81"/>
      <c r="K30" s="81">
        <f>'Project 1'!K54+'Project 3'!K54+'Project 4'!K54+'Project 2'!K54+'Project 5'!K54+'Project 6'!K54</f>
        <v>0</v>
      </c>
      <c r="L30" s="81"/>
      <c r="M30" s="81">
        <f>'Project 1'!M54+'Project 3'!M54+'Project 4'!M54+'Project 2'!M54+'Project 5'!M54+'Project 6'!M54</f>
        <v>0</v>
      </c>
    </row>
    <row r="31" spans="1:13" ht="12.75">
      <c r="A31" s="82" t="s">
        <v>16</v>
      </c>
      <c r="B31" s="83">
        <f>B30+D12</f>
        <v>3131023.962072974</v>
      </c>
      <c r="C31" s="83">
        <v>0</v>
      </c>
      <c r="D31" s="83">
        <v>0</v>
      </c>
      <c r="E31" s="81">
        <f>'Project 1'!E55+'Project 3'!E55+'Project 4'!E55+'Project 2'!E55+'Project 5'!E55+'Project 6'!E55</f>
        <v>4517673.632120378</v>
      </c>
      <c r="F31" s="81"/>
      <c r="G31" s="81"/>
      <c r="H31" s="81">
        <f>'Project 1'!H55+'Project 3'!H55+'Project 4'!H55+'Project 2'!H55+'Project 5'!H55+'Project 6'!H55</f>
        <v>1146365.9264240758</v>
      </c>
      <c r="I31" s="81"/>
      <c r="J31" s="81"/>
      <c r="K31" s="81">
        <f>'Project 1'!K55+'Project 3'!K55+'Project 4'!K55+'Project 2'!K55+'Project 5'!K55+'Project 6'!K55</f>
        <v>0</v>
      </c>
      <c r="L31" s="81"/>
      <c r="M31" s="81">
        <f>'Project 1'!M55+'Project 3'!M55+'Project 4'!M55+'Project 2'!M55+'Project 5'!M55+'Project 6'!M55</f>
        <v>0</v>
      </c>
    </row>
    <row r="32" spans="1:13" ht="12.75">
      <c r="A32" s="82" t="s">
        <v>17</v>
      </c>
      <c r="B32" s="83">
        <f>B31</f>
        <v>3131023.962072974</v>
      </c>
      <c r="C32" s="83">
        <v>0</v>
      </c>
      <c r="D32" s="83">
        <v>0</v>
      </c>
      <c r="E32" s="81">
        <f>'Project 1'!E56+'Project 3'!E56+'Project 4'!E56+'Project 2'!E56+'Project 5'!E56+'Project 6'!E56</f>
        <v>4517673.632120378</v>
      </c>
      <c r="F32" s="81"/>
      <c r="G32" s="81"/>
      <c r="H32" s="81">
        <f>'Project 1'!H56+'Project 3'!H56+'Project 4'!H56+'Project 2'!H56+'Project 5'!H56+'Project 6'!H56</f>
        <v>1298388.3264240758</v>
      </c>
      <c r="I32" s="81"/>
      <c r="J32" s="81"/>
      <c r="K32" s="81">
        <f>'Project 1'!K56+'Project 3'!K56+'Project 4'!K56+'Project 2'!K56+'Project 5'!K56+'Project 6'!K56</f>
        <v>747812.9264240757</v>
      </c>
      <c r="L32" s="81"/>
      <c r="M32" s="81">
        <f>'Project 1'!M56+'Project 3'!M56+'Project 4'!M56+'Project 2'!M56+'Project 5'!M56+'Project 6'!M56</f>
        <v>0</v>
      </c>
    </row>
    <row r="33" spans="1:13" ht="12.75">
      <c r="A33" s="82" t="s">
        <v>18</v>
      </c>
      <c r="B33" s="83">
        <f>B32</f>
        <v>3131023.962072974</v>
      </c>
      <c r="C33" s="83">
        <v>0</v>
      </c>
      <c r="D33" s="83">
        <v>0</v>
      </c>
      <c r="E33" s="81">
        <f>'Project 1'!E57+'Project 3'!E57+'Project 4'!E57+'Project 2'!E57+'Project 5'!E57+'Project 6'!E57</f>
        <v>4517673.632120378</v>
      </c>
      <c r="F33" s="81"/>
      <c r="G33" s="81"/>
      <c r="H33" s="81">
        <f>'Project 1'!H57+'Project 3'!H57+'Project 4'!H57+'Project 2'!H57+'Project 5'!H57+'Project 6'!H57</f>
        <v>1688222.8212421327</v>
      </c>
      <c r="I33" s="81"/>
      <c r="J33" s="81"/>
      <c r="K33" s="81">
        <f>'Project 1'!K57+'Project 3'!K57+'Project 4'!K57+'Project 2'!K57+'Project 5'!K57+'Project 6'!K57</f>
        <v>747812.9264240757</v>
      </c>
      <c r="L33" s="81"/>
      <c r="M33" s="81">
        <f>'Project 1'!M57+'Project 3'!M57+'Project 4'!M57+'Project 2'!M57+'Project 5'!M57+'Project 6'!M57</f>
        <v>0</v>
      </c>
    </row>
    <row r="34" spans="1:13" ht="12.75">
      <c r="A34" s="82" t="s">
        <v>19</v>
      </c>
      <c r="B34" s="83">
        <f>B33</f>
        <v>3131023.962072974</v>
      </c>
      <c r="C34" s="83">
        <v>0</v>
      </c>
      <c r="D34" s="83">
        <v>0</v>
      </c>
      <c r="E34" s="81">
        <f>'Project 1'!E58+'Project 3'!E58+'Project 4'!E58+'Project 2'!E58+'Project 5'!E58+'Project 6'!E58</f>
        <v>4517673.632120378</v>
      </c>
      <c r="F34" s="81"/>
      <c r="G34" s="81"/>
      <c r="H34" s="81">
        <f>'Project 1'!H58+'Project 3'!H58+'Project 4'!H58+'Project 2'!H58+'Project 5'!H58+'Project 6'!H58</f>
        <v>1992267.6212421325</v>
      </c>
      <c r="I34" s="81"/>
      <c r="J34" s="81"/>
      <c r="K34" s="81">
        <f>'Project 1'!K58+'Project 3'!K58+'Project 4'!K58+'Project 2'!K58+'Project 5'!K58+'Project 6'!K58</f>
        <v>899835.3264240758</v>
      </c>
      <c r="L34" s="81"/>
      <c r="M34" s="81">
        <f>'Project 1'!M58+'Project 3'!M58+'Project 4'!M58+'Project 2'!M58+'Project 5'!M58+'Project 6'!M58</f>
        <v>0</v>
      </c>
    </row>
    <row r="35" spans="1:13" ht="12.75">
      <c r="A35" s="82" t="s">
        <v>20</v>
      </c>
      <c r="B35" s="83">
        <f>B34+D13</f>
        <v>4606475.238447597</v>
      </c>
      <c r="C35" s="83">
        <v>0</v>
      </c>
      <c r="D35" s="83">
        <v>0</v>
      </c>
      <c r="E35" s="81">
        <f>'Project 1'!E59+'Project 3'!E59+'Project 4'!E59+'Project 2'!E59+'Project 5'!E59+'Project 6'!E59</f>
        <v>4517673.632120378</v>
      </c>
      <c r="F35" s="81"/>
      <c r="G35" s="81"/>
      <c r="H35" s="81">
        <f>'Project 1'!H59+'Project 3'!H59+'Project 4'!H59+'Project 2'!H59+'Project 5'!H59+'Project 6'!H59</f>
        <v>1992267.6212421325</v>
      </c>
      <c r="I35" s="81"/>
      <c r="J35" s="81"/>
      <c r="K35" s="81">
        <f>'Project 1'!K59+'Project 3'!K59+'Project 4'!K59+'Project 2'!K59+'Project 5'!K59+'Project 6'!K59</f>
        <v>1688222.8212421327</v>
      </c>
      <c r="L35" s="81"/>
      <c r="M35" s="81">
        <f>'Project 1'!M59+'Project 3'!M59+'Project 4'!M59+'Project 2'!M59+'Project 5'!M59+'Project 6'!M59</f>
        <v>0</v>
      </c>
    </row>
    <row r="36" spans="1:13" ht="12.75">
      <c r="A36" s="82" t="s">
        <v>21</v>
      </c>
      <c r="B36" s="83">
        <f>B35</f>
        <v>4606475.238447597</v>
      </c>
      <c r="C36" s="83">
        <v>0</v>
      </c>
      <c r="D36" s="83">
        <v>0</v>
      </c>
      <c r="E36" s="81">
        <f>'Project 1'!E60+'Project 3'!E60+'Project 4'!E60+'Project 2'!E60+'Project 5'!E60+'Project 6'!E60</f>
        <v>4517673.632120378</v>
      </c>
      <c r="F36" s="81"/>
      <c r="G36" s="81"/>
      <c r="H36" s="81">
        <f>'Project 1'!H60+'Project 3'!H60+'Project 4'!H60+'Project 2'!H60+'Project 5'!H60+'Project 6'!H60</f>
        <v>2296312.421242133</v>
      </c>
      <c r="I36" s="81"/>
      <c r="J36" s="81"/>
      <c r="K36" s="81">
        <f>'Project 1'!K60+'Project 3'!K60+'Project 4'!K60+'Project 2'!K60+'Project 5'!K60+'Project 6'!K60</f>
        <v>1992267.6212421325</v>
      </c>
      <c r="L36" s="81"/>
      <c r="M36" s="81">
        <f>'Project 1'!M60+'Project 3'!M60+'Project 4'!M60+'Project 2'!M60+'Project 5'!M60+'Project 6'!M60</f>
        <v>0</v>
      </c>
    </row>
    <row r="37" spans="1:13" ht="12.75">
      <c r="A37" s="82" t="s">
        <v>22</v>
      </c>
      <c r="B37" s="83">
        <f>B36</f>
        <v>4606475.238447597</v>
      </c>
      <c r="C37" s="83">
        <v>0</v>
      </c>
      <c r="D37" s="83">
        <v>0</v>
      </c>
      <c r="E37" s="81">
        <f>'Project 1'!E61+'Project 3'!E61+'Project 4'!E61+'Project 2'!E61+'Project 5'!E61+'Project 6'!E61</f>
        <v>4517673.632120378</v>
      </c>
      <c r="F37" s="81"/>
      <c r="G37" s="81"/>
      <c r="H37" s="81">
        <f>'Project 1'!H61+'Project 3'!H61+'Project 4'!H61+'Project 2'!H61+'Project 5'!H61+'Project 6'!H61</f>
        <v>2914180.5160601893</v>
      </c>
      <c r="I37" s="81"/>
      <c r="J37" s="81"/>
      <c r="K37" s="81">
        <f>'Project 1'!K61+'Project 3'!K61+'Project 4'!K61+'Project 2'!K61+'Project 5'!K61+'Project 6'!K61</f>
        <v>1992267.6212421325</v>
      </c>
      <c r="L37" s="81"/>
      <c r="M37" s="81">
        <f>'Project 1'!M61+'Project 3'!M61+'Project 4'!M61+'Project 2'!M61+'Project 5'!M61+'Project 6'!M61</f>
        <v>0</v>
      </c>
    </row>
    <row r="38" spans="1:13" ht="12.75">
      <c r="A38" s="82" t="s">
        <v>23</v>
      </c>
      <c r="B38" s="83">
        <f>B37</f>
        <v>4606475.238447597</v>
      </c>
      <c r="C38" s="83">
        <f>B26</f>
        <v>702480.0363628736</v>
      </c>
      <c r="D38" s="83">
        <f>C38-$J$10</f>
        <v>26328.826362873544</v>
      </c>
      <c r="E38" s="81">
        <f>'Project 1'!E62+'Project 3'!E62+'Project 4'!E62+'Project 2'!E62+'Project 5'!E62+'Project 6'!E62</f>
        <v>4517673.632120378</v>
      </c>
      <c r="F38" s="81"/>
      <c r="G38" s="81"/>
      <c r="H38" s="81">
        <f>'Project 1'!H62+'Project 3'!H62+'Project 4'!H62+'Project 2'!H62+'Project 5'!H62+'Project 6'!H62</f>
        <v>2914180.5160601893</v>
      </c>
      <c r="I38" s="81"/>
      <c r="J38" s="81"/>
      <c r="K38" s="81">
        <f>'Project 1'!K62+'Project 3'!K62+'Project 4'!K62+'Project 2'!K62+'Project 5'!K62+'Project 6'!K62</f>
        <v>2296312.421242133</v>
      </c>
      <c r="L38" s="81"/>
      <c r="M38" s="81">
        <f>'Project 1'!M62+'Project 3'!M62+'Project 4'!M62+'Project 2'!M62+'Project 5'!M62+'Project 6'!M62</f>
        <v>0</v>
      </c>
    </row>
    <row r="39" spans="1:13" ht="12.75">
      <c r="A39" s="82" t="s">
        <v>24</v>
      </c>
      <c r="B39" s="83">
        <f>B38+D14</f>
        <v>6186088.320214007</v>
      </c>
      <c r="C39" s="83">
        <f>C38</f>
        <v>702480.0363628736</v>
      </c>
      <c r="D39" s="83">
        <f aca="true" t="shared" si="2" ref="D39:D57">C39-$J$10</f>
        <v>26328.826362873544</v>
      </c>
      <c r="E39" s="81">
        <f>'Project 1'!E63+'Project 3'!E63+'Project 4'!E63+'Project 2'!E63+'Project 5'!E63+'Project 6'!E63</f>
        <v>6853471.632120378</v>
      </c>
      <c r="F39" s="81"/>
      <c r="G39" s="81"/>
      <c r="H39" s="81">
        <f>'Project 1'!H63+'Project 3'!H63+'Project 4'!H63+'Project 2'!H63+'Project 5'!H63+'Project 6'!H63</f>
        <v>3218225.3160601896</v>
      </c>
      <c r="I39" s="81"/>
      <c r="J39" s="81"/>
      <c r="K39" s="81">
        <f>'Project 1'!K63+'Project 3'!K63+'Project 4'!K63+'Project 2'!K63+'Project 5'!K63+'Project 6'!K63</f>
        <v>2914180.5160601893</v>
      </c>
      <c r="L39" s="81"/>
      <c r="M39" s="81">
        <f>'Project 1'!M63+'Project 3'!M63+'Project 4'!M63+'Project 2'!M63+'Project 5'!M63+'Project 6'!M63</f>
        <v>0</v>
      </c>
    </row>
    <row r="40" spans="1:13" ht="12.75">
      <c r="A40" s="82" t="s">
        <v>25</v>
      </c>
      <c r="B40" s="83">
        <f>B39</f>
        <v>6186088.320214007</v>
      </c>
      <c r="C40" s="83">
        <f>C39</f>
        <v>702480.0363628736</v>
      </c>
      <c r="D40" s="83">
        <f t="shared" si="2"/>
        <v>26328.826362873544</v>
      </c>
      <c r="E40" s="81">
        <f>'Project 1'!E64+'Project 3'!E64+'Project 4'!E64+'Project 2'!E64+'Project 5'!E64+'Project 6'!E64</f>
        <v>7208325.045126621</v>
      </c>
      <c r="F40" s="81"/>
      <c r="G40" s="81"/>
      <c r="H40" s="81">
        <f>'Project 1'!H64+'Project 3'!H64+'Project 4'!H64+'Project 2'!H64+'Project 5'!H64+'Project 6'!H64</f>
        <v>3685384.9160601897</v>
      </c>
      <c r="I40" s="81"/>
      <c r="J40" s="81"/>
      <c r="K40" s="81">
        <f>'Project 1'!K64+'Project 3'!K64+'Project 4'!K64+'Project 2'!K64+'Project 5'!K64+'Project 6'!K64</f>
        <v>2914180.5160601893</v>
      </c>
      <c r="L40" s="81"/>
      <c r="M40" s="81">
        <f>'Project 1'!M64+'Project 3'!M64+'Project 4'!M64+'Project 2'!M64+'Project 5'!M64+'Project 6'!M64</f>
        <v>0</v>
      </c>
    </row>
    <row r="41" spans="1:13" ht="12.75">
      <c r="A41" s="82" t="s">
        <v>26</v>
      </c>
      <c r="B41" s="83">
        <f>B40</f>
        <v>6186088.320214007</v>
      </c>
      <c r="C41" s="83">
        <f>C40</f>
        <v>702480.0363628736</v>
      </c>
      <c r="D41" s="83">
        <f t="shared" si="2"/>
        <v>26328.826362873544</v>
      </c>
      <c r="E41" s="81">
        <f>'Project 1'!E65+'Project 3'!E65+'Project 4'!E65+'Project 2'!E65+'Project 5'!E65+'Project 6'!E65</f>
        <v>7208325.045126621</v>
      </c>
      <c r="F41" s="81"/>
      <c r="G41" s="81"/>
      <c r="H41" s="81">
        <f>'Project 1'!H65+'Project 3'!H65+'Project 4'!H65+'Project 2'!H65+'Project 5'!H65+'Project 6'!H65</f>
        <v>4252646.117381368</v>
      </c>
      <c r="I41" s="81"/>
      <c r="J41" s="81"/>
      <c r="K41" s="81">
        <f>'Project 1'!K65+'Project 3'!K65+'Project 4'!K65+'Project 2'!K65+'Project 5'!K65+'Project 6'!K65</f>
        <v>3218225.3160601896</v>
      </c>
      <c r="L41" s="81"/>
      <c r="M41" s="81">
        <f>'Project 1'!M65+'Project 3'!M65+'Project 4'!M65+'Project 2'!M65+'Project 5'!M65+'Project 6'!M65</f>
        <v>0</v>
      </c>
    </row>
    <row r="42" spans="1:13" ht="12.75">
      <c r="A42" s="82" t="s">
        <v>27</v>
      </c>
      <c r="B42" s="83">
        <f>B41</f>
        <v>6186088.320214007</v>
      </c>
      <c r="C42" s="83">
        <f>B27</f>
        <v>1730820.0895934245</v>
      </c>
      <c r="D42" s="83">
        <f t="shared" si="2"/>
        <v>1054668.8795934245</v>
      </c>
      <c r="E42" s="81">
        <f>'Project 1'!E66+'Project 3'!E66+'Project 4'!E66+'Project 2'!E66+'Project 5'!E66+'Project 6'!E66</f>
        <v>7208325.045126621</v>
      </c>
      <c r="F42" s="81"/>
      <c r="G42" s="81"/>
      <c r="H42" s="81">
        <f>'Project 1'!H66+'Project 3'!H66+'Project 4'!H66+'Project 2'!H66+'Project 5'!H66+'Project 6'!H66</f>
        <v>4719805.717381367</v>
      </c>
      <c r="I42" s="81"/>
      <c r="J42" s="81"/>
      <c r="K42" s="81">
        <f>'Project 1'!K66+'Project 3'!K66+'Project 4'!K66+'Project 2'!K66+'Project 5'!K66+'Project 6'!K66</f>
        <v>3685384.9160601897</v>
      </c>
      <c r="L42" s="81"/>
      <c r="M42" s="81">
        <f>'Project 1'!M66+'Project 3'!M66+'Project 4'!M66+'Project 2'!M66+'Project 5'!M66+'Project 6'!M66</f>
        <v>0</v>
      </c>
    </row>
    <row r="43" spans="1:13" ht="12.75">
      <c r="A43" s="82" t="s">
        <v>28</v>
      </c>
      <c r="B43" s="83">
        <f>B42+D15</f>
        <v>7870444.407402289</v>
      </c>
      <c r="C43" s="83">
        <f>C42</f>
        <v>1730820.0895934245</v>
      </c>
      <c r="D43" s="83">
        <f t="shared" si="2"/>
        <v>1054668.8795934245</v>
      </c>
      <c r="E43" s="81">
        <f>'Project 1'!E67+'Project 3'!E67+'Project 4'!E67+'Project 2'!E67+'Project 5'!E67+'Project 6'!E67</f>
        <v>7208325.045126621</v>
      </c>
      <c r="F43" s="81"/>
      <c r="G43" s="81"/>
      <c r="H43" s="81">
        <f>'Project 1'!H67+'Project 3'!H67+'Project 4'!H67+'Project 2'!H67+'Project 5'!H67+'Project 6'!H67</f>
        <v>5070175.417381368</v>
      </c>
      <c r="I43" s="81"/>
      <c r="J43" s="81"/>
      <c r="K43" s="81">
        <f>'Project 1'!K67+'Project 3'!K67+'Project 4'!K67+'Project 2'!K67+'Project 5'!K67+'Project 6'!K67</f>
        <v>4075219.4108782467</v>
      </c>
      <c r="L43" s="81"/>
      <c r="M43" s="81">
        <f>'Project 1'!M67+'Project 3'!M67+'Project 4'!M67+'Project 2'!M67+'Project 5'!M67+'Project 6'!M67</f>
        <v>0</v>
      </c>
    </row>
    <row r="44" spans="1:13" ht="12.75">
      <c r="A44" s="82" t="s">
        <v>29</v>
      </c>
      <c r="B44" s="83">
        <f>B43</f>
        <v>7870444.407402289</v>
      </c>
      <c r="C44" s="83">
        <f>C43</f>
        <v>1730820.0895934245</v>
      </c>
      <c r="D44" s="83">
        <f t="shared" si="2"/>
        <v>1054668.8795934245</v>
      </c>
      <c r="E44" s="81">
        <f>'Project 1'!E68+'Project 3'!E68+'Project 4'!E68+'Project 2'!E68+'Project 5'!E68+'Project 6'!E68</f>
        <v>7208325.045126621</v>
      </c>
      <c r="F44" s="81"/>
      <c r="G44" s="81"/>
      <c r="H44" s="81">
        <f>'Project 1'!H68+'Project 3'!H68+'Project 4'!H68+'Project 2'!H68+'Project 5'!H68+'Project 6'!H68</f>
        <v>5420545.117381368</v>
      </c>
      <c r="I44" s="81"/>
      <c r="J44" s="81"/>
      <c r="K44" s="81">
        <f>'Project 1'!K68+'Project 3'!K68+'Project 4'!K68+'Project 2'!K68+'Project 5'!K68+'Project 6'!K68</f>
        <v>4542379.010878246</v>
      </c>
      <c r="L44" s="81"/>
      <c r="M44" s="81">
        <f>'Project 1'!M68+'Project 3'!M68+'Project 4'!M68+'Project 2'!M68+'Project 5'!M68+'Project 6'!M68</f>
        <v>0</v>
      </c>
    </row>
    <row r="45" spans="1:13" ht="12.75">
      <c r="A45" s="82" t="s">
        <v>30</v>
      </c>
      <c r="B45" s="83">
        <f>B44</f>
        <v>7870444.407402289</v>
      </c>
      <c r="C45" s="83">
        <f>C44</f>
        <v>1730820.0895934245</v>
      </c>
      <c r="D45" s="83">
        <f t="shared" si="2"/>
        <v>1054668.8795934245</v>
      </c>
      <c r="E45" s="81">
        <f>'Project 1'!E69+'Project 3'!E69+'Project 4'!E69+'Project 2'!E69+'Project 5'!E69+'Project 6'!E69</f>
        <v>7208325.045126621</v>
      </c>
      <c r="F45" s="81"/>
      <c r="G45" s="81"/>
      <c r="H45" s="81">
        <f>'Project 1'!H69+'Project 3'!H69+'Project 4'!H69+'Project 2'!H69+'Project 5'!H69+'Project 6'!H69</f>
        <v>6221386.118702546</v>
      </c>
      <c r="I45" s="81"/>
      <c r="J45" s="81"/>
      <c r="K45" s="81">
        <f>'Project 1'!K69+'Project 3'!K69+'Project 4'!K69+'Project 2'!K69+'Project 5'!K69+'Project 6'!K69</f>
        <v>5070175.417381368</v>
      </c>
      <c r="L45" s="81"/>
      <c r="M45" s="81">
        <f>'Project 1'!M69+'Project 3'!M69+'Project 4'!M69+'Project 2'!M69+'Project 5'!M69+'Project 6'!M69</f>
        <v>0</v>
      </c>
    </row>
    <row r="46" spans="1:13" ht="12.75">
      <c r="A46" s="82" t="s">
        <v>31</v>
      </c>
      <c r="B46" s="83">
        <f>B45</f>
        <v>7870444.407402289</v>
      </c>
      <c r="C46" s="83">
        <f>B34</f>
        <v>3131023.962072974</v>
      </c>
      <c r="D46" s="83">
        <f t="shared" si="2"/>
        <v>2454872.752072974</v>
      </c>
      <c r="E46" s="81">
        <f>'Project 1'!E70+'Project 3'!E70+'Project 4'!E70+'Project 2'!E70+'Project 5'!E70+'Project 6'!E70</f>
        <v>7208325.045126621</v>
      </c>
      <c r="F46" s="81"/>
      <c r="G46" s="81"/>
      <c r="H46" s="81">
        <f>'Project 1'!H70+'Project 3'!H70+'Project 4'!H70+'Project 2'!H70+'Project 5'!H70+'Project 6'!H70</f>
        <v>6221386.118702546</v>
      </c>
      <c r="I46" s="81"/>
      <c r="J46" s="81"/>
      <c r="K46" s="81">
        <f>'Project 1'!K70+'Project 3'!K70+'Project 4'!K70+'Project 2'!K70+'Project 5'!K70+'Project 6'!K70</f>
        <v>5420545.117381368</v>
      </c>
      <c r="L46" s="81"/>
      <c r="M46" s="81">
        <f>'Project 1'!M70+'Project 3'!M70+'Project 4'!M70+'Project 2'!M70+'Project 5'!M70+'Project 6'!M70</f>
        <v>0</v>
      </c>
    </row>
    <row r="47" spans="1:13" ht="12.75">
      <c r="A47" s="82" t="s">
        <v>32</v>
      </c>
      <c r="B47" s="83">
        <f>B46+D16</f>
        <v>9659303.099999998</v>
      </c>
      <c r="C47" s="83">
        <f>C46</f>
        <v>3131023.962072974</v>
      </c>
      <c r="D47" s="83">
        <f t="shared" si="2"/>
        <v>2454872.752072974</v>
      </c>
      <c r="E47" s="81">
        <f>'Project 1'!E71+'Project 3'!E71+'Project 4'!E71+'Project 2'!E71+'Project 5'!E71+'Project 6'!E71</f>
        <v>9659303.04512662</v>
      </c>
      <c r="F47" s="81"/>
      <c r="G47" s="81"/>
      <c r="H47" s="81">
        <f>'Project 1'!H71+'Project 3'!H71+'Project 4'!H71+'Project 2'!H71+'Project 5'!H71+'Project 6'!H71</f>
        <v>6688545.718702545</v>
      </c>
      <c r="I47" s="81"/>
      <c r="J47" s="81"/>
      <c r="K47" s="81">
        <f>'Project 1'!K71+'Project 3'!K71+'Project 4'!K71+'Project 2'!K71+'Project 5'!K71+'Project 6'!K71</f>
        <v>6160749.312199425</v>
      </c>
      <c r="L47" s="81"/>
      <c r="M47" s="81">
        <f>'Project 1'!M71+'Project 3'!M71+'Project 4'!M71+'Project 2'!M71+'Project 5'!M71+'Project 6'!M71</f>
        <v>0</v>
      </c>
    </row>
    <row r="48" spans="1:13" ht="12.75">
      <c r="A48" s="82" t="s">
        <v>33</v>
      </c>
      <c r="B48" s="83">
        <f aca="true" t="shared" si="3" ref="B48:B58">$B$47</f>
        <v>9659303.099999998</v>
      </c>
      <c r="C48" s="83">
        <f>C47</f>
        <v>3131023.962072974</v>
      </c>
      <c r="D48" s="83">
        <f t="shared" si="2"/>
        <v>2454872.752072974</v>
      </c>
      <c r="E48" s="81">
        <f>'Project 1'!E72+'Project 3'!E72+'Project 4'!E72+'Project 2'!E72+'Project 5'!E72+'Project 6'!E72</f>
        <v>9659303.04512662</v>
      </c>
      <c r="F48" s="81"/>
      <c r="G48" s="81"/>
      <c r="H48" s="81">
        <f>'Project 1'!H72+'Project 3'!H72+'Project 4'!H72+'Project 2'!H72+'Project 5'!H72+'Project 6'!H72</f>
        <v>7178741.318702545</v>
      </c>
      <c r="I48" s="81"/>
      <c r="J48" s="81"/>
      <c r="K48" s="81">
        <f>'Project 1'!K72+'Project 3'!K72+'Project 4'!K72+'Project 2'!K72+'Project 5'!K72+'Project 6'!K72</f>
        <v>6160749.312199425</v>
      </c>
      <c r="L48" s="81"/>
      <c r="M48" s="81">
        <f>'Project 1'!M72+'Project 3'!M72+'Project 4'!M72+'Project 2'!M72+'Project 5'!M72+'Project 6'!M72</f>
        <v>0</v>
      </c>
    </row>
    <row r="49" spans="1:13" ht="12.75">
      <c r="A49" s="82" t="s">
        <v>34</v>
      </c>
      <c r="B49" s="83">
        <f t="shared" si="3"/>
        <v>9659303.099999998</v>
      </c>
      <c r="C49" s="83">
        <f>C48</f>
        <v>3131023.962072974</v>
      </c>
      <c r="D49" s="83">
        <f t="shared" si="2"/>
        <v>2454872.752072974</v>
      </c>
      <c r="E49" s="81">
        <f>'Project 1'!E73+'Project 3'!E73+'Project 4'!E73+'Project 2'!E73+'Project 5'!E73+'Project 6'!E73</f>
        <v>9659303.04512662</v>
      </c>
      <c r="F49" s="81"/>
      <c r="G49" s="81"/>
      <c r="H49" s="81">
        <f>'Project 1'!H73+'Project 3'!H73+'Project 4'!H73+'Project 2'!H73+'Project 5'!H73+'Project 6'!H73</f>
        <v>7178741.318702545</v>
      </c>
      <c r="I49" s="81"/>
      <c r="J49" s="81"/>
      <c r="K49" s="81">
        <f>'Project 1'!K73+'Project 3'!K73+'Project 4'!K73+'Project 2'!K73+'Project 5'!K73+'Project 6'!K73</f>
        <v>6688545.718702545</v>
      </c>
      <c r="L49" s="81"/>
      <c r="M49" s="81">
        <f>'Project 1'!M73+'Project 3'!M73+'Project 4'!M73+'Project 2'!M73+'Project 5'!M73+'Project 6'!M73</f>
        <v>0</v>
      </c>
    </row>
    <row r="50" spans="1:13" ht="12.75">
      <c r="A50" s="82" t="s">
        <v>35</v>
      </c>
      <c r="B50" s="83">
        <f t="shared" si="3"/>
        <v>9659303.099999998</v>
      </c>
      <c r="C50" s="83">
        <f>B35+D14</f>
        <v>6186088.320214007</v>
      </c>
      <c r="D50" s="83">
        <f t="shared" si="2"/>
        <v>5509937.110214007</v>
      </c>
      <c r="E50" s="81">
        <f>'Project 1'!E74+'Project 3'!E74+'Project 4'!E74+'Project 2'!E74+'Project 5'!E74+'Project 6'!E74</f>
        <v>9659303.04512662</v>
      </c>
      <c r="F50" s="81"/>
      <c r="G50" s="81"/>
      <c r="H50" s="81">
        <f>'Project 1'!H74+'Project 3'!H74+'Project 4'!H74+'Project 2'!H74+'Project 5'!H74+'Project 6'!H74</f>
        <v>7668936.918702546</v>
      </c>
      <c r="I50" s="81"/>
      <c r="J50" s="81"/>
      <c r="K50" s="81">
        <f>'Project 1'!K74+'Project 3'!K74+'Project 4'!K74+'Project 2'!K74+'Project 5'!K74+'Project 6'!K74</f>
        <v>7438630.981914583</v>
      </c>
      <c r="L50" s="81"/>
      <c r="M50" s="81">
        <f>'Project 1'!M74+'Project 3'!M74+'Project 4'!M74+'Project 2'!M74+'Project 5'!M74+'Project 6'!M74</f>
        <v>0</v>
      </c>
    </row>
    <row r="51" spans="1:13" ht="12.75">
      <c r="A51" s="82" t="s">
        <v>36</v>
      </c>
      <c r="B51" s="83">
        <f t="shared" si="3"/>
        <v>9659303.099999998</v>
      </c>
      <c r="C51" s="83">
        <f>C50</f>
        <v>6186088.320214007</v>
      </c>
      <c r="D51" s="83">
        <f t="shared" si="2"/>
        <v>5509937.110214007</v>
      </c>
      <c r="E51" s="81">
        <f>'Project 1'!E75+'Project 3'!E75+'Project 4'!E75+'Project 2'!E75+'Project 5'!E75+'Project 6'!E75</f>
        <v>9659303.04512662</v>
      </c>
      <c r="F51" s="81"/>
      <c r="G51" s="81"/>
      <c r="H51" s="81">
        <f>'Project 1'!H75+'Project 3'!H75+'Project 4'!H75+'Project 2'!H75+'Project 5'!H75+'Project 6'!H75</f>
        <v>7668936.918702546</v>
      </c>
      <c r="I51" s="81"/>
      <c r="J51" s="81"/>
      <c r="K51" s="81">
        <f>'Project 1'!K75+'Project 3'!K75+'Project 4'!K75+'Project 2'!K75+'Project 5'!K75+'Project 6'!K75</f>
        <v>7438630.981914583</v>
      </c>
      <c r="L51" s="81"/>
      <c r="M51" s="81">
        <f>'Project 1'!M75+'Project 3'!M75+'Project 4'!M75+'Project 2'!M75+'Project 5'!M75+'Project 6'!M75</f>
        <v>0</v>
      </c>
    </row>
    <row r="52" spans="1:13" ht="12.75">
      <c r="A52" s="82" t="s">
        <v>37</v>
      </c>
      <c r="B52" s="83">
        <f t="shared" si="3"/>
        <v>9659303.099999998</v>
      </c>
      <c r="C52" s="83">
        <f>C51</f>
        <v>6186088.320214007</v>
      </c>
      <c r="D52" s="83">
        <f t="shared" si="2"/>
        <v>5509937.110214007</v>
      </c>
      <c r="E52" s="81">
        <f>'Project 1'!E76+'Project 3'!E76+'Project 4'!E76+'Project 2'!E76+'Project 5'!E76+'Project 6'!E76</f>
        <v>9659303.04512662</v>
      </c>
      <c r="F52" s="81"/>
      <c r="G52" s="81"/>
      <c r="H52" s="81">
        <f>'Project 1'!H76+'Project 3'!H76+'Project 4'!H76+'Project 2'!H76+'Project 5'!H76+'Project 6'!H76</f>
        <v>8159132.518702545</v>
      </c>
      <c r="I52" s="81"/>
      <c r="J52" s="81"/>
      <c r="K52" s="81">
        <f>'Project 1'!K76+'Project 3'!K76+'Project 4'!K76+'Project 2'!K76+'Project 5'!K76+'Project 6'!K76</f>
        <v>7928826.581914583</v>
      </c>
      <c r="L52" s="81"/>
      <c r="M52" s="81">
        <f>'Project 1'!M76+'Project 3'!M76+'Project 4'!M76+'Project 2'!M76+'Project 5'!M76+'Project 6'!M76</f>
        <v>0</v>
      </c>
    </row>
    <row r="53" spans="1:13" ht="12.75">
      <c r="A53" s="82" t="s">
        <v>38</v>
      </c>
      <c r="B53" s="83">
        <f t="shared" si="3"/>
        <v>9659303.099999998</v>
      </c>
      <c r="C53" s="83">
        <f>C52</f>
        <v>6186088.320214007</v>
      </c>
      <c r="D53" s="83">
        <f t="shared" si="2"/>
        <v>5509937.110214007</v>
      </c>
      <c r="E53" s="81">
        <f>'Project 1'!E77+'Project 3'!E77+'Project 4'!E77+'Project 2'!E77+'Project 5'!E77+'Project 6'!E77</f>
        <v>9659303.04512662</v>
      </c>
      <c r="F53" s="81"/>
      <c r="G53" s="81"/>
      <c r="H53" s="81">
        <f>'Project 1'!H77+'Project 3'!H77+'Project 4'!H77+'Project 2'!H77+'Project 5'!H77+'Project 6'!H77</f>
        <v>8678911.845126621</v>
      </c>
      <c r="I53" s="81"/>
      <c r="J53" s="81"/>
      <c r="K53" s="81">
        <f>'Project 1'!K77+'Project 3'!K77+'Project 4'!K77+'Project 2'!K77+'Project 5'!K77+'Project 6'!K77</f>
        <v>7928826.581914583</v>
      </c>
      <c r="L53" s="81"/>
      <c r="M53" s="81">
        <f>'Project 1'!M77+'Project 3'!M77+'Project 4'!M77+'Project 2'!M77+'Project 5'!M77+'Project 6'!M77</f>
        <v>0</v>
      </c>
    </row>
    <row r="54" spans="1:13" ht="12.75">
      <c r="A54" s="82" t="s">
        <v>39</v>
      </c>
      <c r="B54" s="83">
        <f t="shared" si="3"/>
        <v>9659303.099999998</v>
      </c>
      <c r="C54" s="83">
        <f>B46</f>
        <v>7870444.407402289</v>
      </c>
      <c r="D54" s="83">
        <f t="shared" si="2"/>
        <v>7194293.197402289</v>
      </c>
      <c r="E54" s="81">
        <f>'Project 1'!E78+'Project 3'!E78+'Project 4'!E78+'Project 2'!E78+'Project 5'!E78+'Project 6'!E78</f>
        <v>9659303.04512662</v>
      </c>
      <c r="F54" s="81"/>
      <c r="G54" s="81"/>
      <c r="H54" s="81">
        <f>'Project 1'!H78+'Project 3'!H78+'Project 4'!H78+'Project 2'!H78+'Project 5'!H78+'Project 6'!H78</f>
        <v>9169107.445126621</v>
      </c>
      <c r="I54" s="81"/>
      <c r="J54" s="81"/>
      <c r="K54" s="81">
        <f>'Project 1'!K78+'Project 3'!K78+'Project 4'!K78+'Project 2'!K78+'Project 5'!K78+'Project 6'!K78</f>
        <v>8419022.181914583</v>
      </c>
      <c r="L54" s="81"/>
      <c r="M54" s="81">
        <f>'Project 1'!M78+'Project 3'!M78+'Project 4'!M78+'Project 2'!M78+'Project 5'!M78+'Project 6'!M78</f>
        <v>0</v>
      </c>
    </row>
    <row r="55" spans="1:13" ht="12.75">
      <c r="A55" s="82" t="s">
        <v>40</v>
      </c>
      <c r="B55" s="83">
        <f t="shared" si="3"/>
        <v>9659303.099999998</v>
      </c>
      <c r="C55" s="83">
        <f>C54</f>
        <v>7870444.407402289</v>
      </c>
      <c r="D55" s="83">
        <f t="shared" si="2"/>
        <v>7194293.197402289</v>
      </c>
      <c r="E55" s="81">
        <f>'Project 1'!E79+'Project 3'!E79+'Project 4'!E79+'Project 2'!E79+'Project 5'!E79+'Project 6'!E79</f>
        <v>9659303.04512662</v>
      </c>
      <c r="F55" s="81"/>
      <c r="G55" s="81"/>
      <c r="H55" s="81">
        <f>'Project 1'!H79+'Project 3'!H79+'Project 4'!H79+'Project 2'!H79+'Project 5'!H79+'Project 6'!H79</f>
        <v>9169107.445126621</v>
      </c>
      <c r="I55" s="81"/>
      <c r="J55" s="81"/>
      <c r="K55" s="81">
        <f>'Project 1'!K79+'Project 3'!K79+'Project 4'!K79+'Project 2'!K79+'Project 5'!K79+'Project 6'!K79</f>
        <v>8678911.845126621</v>
      </c>
      <c r="L55" s="81"/>
      <c r="M55" s="81">
        <f>'Project 1'!M79+'Project 3'!M79+'Project 4'!M79+'Project 2'!M79+'Project 5'!M79+'Project 6'!M79</f>
        <v>0</v>
      </c>
    </row>
    <row r="56" spans="1:13" ht="12.75">
      <c r="A56" s="82" t="s">
        <v>41</v>
      </c>
      <c r="B56" s="83">
        <f t="shared" si="3"/>
        <v>9659303.099999998</v>
      </c>
      <c r="C56" s="83">
        <f>C55</f>
        <v>7870444.407402289</v>
      </c>
      <c r="D56" s="83">
        <f t="shared" si="2"/>
        <v>7194293.197402289</v>
      </c>
      <c r="E56" s="81">
        <f>'Project 1'!E80+'Project 3'!E80+'Project 4'!E80+'Project 2'!E80+'Project 5'!E80+'Project 6'!E80</f>
        <v>9659303.04512662</v>
      </c>
      <c r="F56" s="81"/>
      <c r="G56" s="81"/>
      <c r="H56" s="81">
        <f>'Project 1'!H80+'Project 3'!H80+'Project 4'!H80+'Project 2'!H80+'Project 5'!H80+'Project 6'!H80</f>
        <v>9659303.04512662</v>
      </c>
      <c r="I56" s="81"/>
      <c r="J56" s="81"/>
      <c r="K56" s="81">
        <f>'Project 1'!K80+'Project 3'!K80+'Project 4'!K80+'Project 2'!K80+'Project 5'!K80+'Project 6'!K80</f>
        <v>9046558.54512662</v>
      </c>
      <c r="L56" s="81"/>
      <c r="M56" s="81">
        <f>'Project 1'!M80+'Project 3'!M80+'Project 4'!M80+'Project 2'!M80+'Project 5'!M80+'Project 6'!M80</f>
        <v>0</v>
      </c>
    </row>
    <row r="57" spans="1:13" ht="12.75">
      <c r="A57" s="82" t="s">
        <v>42</v>
      </c>
      <c r="B57" s="83">
        <f t="shared" si="3"/>
        <v>9659303.099999998</v>
      </c>
      <c r="C57" s="83">
        <f>C56</f>
        <v>7870444.407402289</v>
      </c>
      <c r="D57" s="83">
        <f t="shared" si="2"/>
        <v>7194293.197402289</v>
      </c>
      <c r="E57" s="81">
        <f>'Project 1'!E81+'Project 3'!E81+'Project 4'!E81+'Project 2'!E81+'Project 5'!E81+'Project 6'!E81</f>
        <v>9659303.04512662</v>
      </c>
      <c r="F57" s="81"/>
      <c r="G57" s="81"/>
      <c r="H57" s="81">
        <f>'Project 1'!H81+'Project 3'!H81+'Project 4'!H81+'Project 2'!H81+'Project 5'!H81+'Project 6'!H81</f>
        <v>9659303.04512662</v>
      </c>
      <c r="I57" s="81"/>
      <c r="J57" s="81"/>
      <c r="K57" s="81">
        <f>'Project 1'!K81+'Project 3'!K81+'Project 4'!K81+'Project 2'!K81+'Project 5'!K81+'Project 6'!K81</f>
        <v>9046558.54512662</v>
      </c>
      <c r="L57" s="81"/>
      <c r="M57" s="81">
        <f>'Project 1'!M81+'Project 3'!M81+'Project 4'!M81+'Project 2'!M81+'Project 5'!M81+'Project 6'!M81</f>
        <v>0</v>
      </c>
    </row>
    <row r="58" spans="1:13" ht="12.75">
      <c r="A58" s="82" t="s">
        <v>43</v>
      </c>
      <c r="B58" s="83">
        <f t="shared" si="3"/>
        <v>9659303.099999998</v>
      </c>
      <c r="C58" s="83">
        <f>B47</f>
        <v>9659303.099999998</v>
      </c>
      <c r="D58" s="83">
        <f>C58</f>
        <v>9659303.099999998</v>
      </c>
      <c r="E58" s="81">
        <f>'Project 1'!E82+'Project 3'!E82+'Project 4'!E82+'Project 2'!E82+'Project 5'!E82+'Project 6'!E82</f>
        <v>9659303.04512662</v>
      </c>
      <c r="F58" s="81"/>
      <c r="G58" s="81"/>
      <c r="H58" s="81">
        <f>'Project 1'!H82+'Project 3'!H82+'Project 4'!H82+'Project 2'!H82+'Project 5'!H82+'Project 6'!H82</f>
        <v>9659303.04512662</v>
      </c>
      <c r="I58" s="81"/>
      <c r="J58" s="81"/>
      <c r="K58" s="81">
        <f>'Project 1'!K82+'Project 3'!K82+'Project 4'!K82+'Project 2'!K82+'Project 5'!K82+'Project 6'!K82</f>
        <v>9414205.24512662</v>
      </c>
      <c r="L58" s="81"/>
      <c r="M58" s="81">
        <f>'Project 1'!M82+'Project 3'!M82+'Project 4'!M82+'Project 2'!M82+'Project 5'!M82+'Project 6'!M82</f>
        <v>0</v>
      </c>
    </row>
  </sheetData>
  <mergeCells count="2">
    <mergeCell ref="A7:C7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52">
      <selection activeCell="H17" sqref="H17"/>
    </sheetView>
  </sheetViews>
  <sheetFormatPr defaultColWidth="9.140625" defaultRowHeight="12.75"/>
  <cols>
    <col min="2" max="2" width="12.57421875" style="0" bestFit="1" customWidth="1"/>
    <col min="3" max="3" width="13.7109375" style="0" bestFit="1" customWidth="1"/>
    <col min="4" max="4" width="14.57421875" style="0" bestFit="1" customWidth="1"/>
    <col min="5" max="5" width="11.8515625" style="0" customWidth="1"/>
    <col min="6" max="6" width="12.00390625" style="0" customWidth="1"/>
    <col min="7" max="7" width="16.7109375" style="0" customWidth="1"/>
    <col min="8" max="8" width="11.140625" style="0" customWidth="1"/>
    <col min="9" max="9" width="11.7109375" style="0" customWidth="1"/>
    <col min="10" max="10" width="10.8515625" style="0" customWidth="1"/>
    <col min="11" max="11" width="11.57421875" style="0" customWidth="1"/>
    <col min="12" max="12" width="13.140625" style="0" customWidth="1"/>
  </cols>
  <sheetData>
    <row r="1" spans="1:13" ht="12.75">
      <c r="A1" s="160" t="s">
        <v>188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39" customHeight="1">
      <c r="A3" s="4" t="s">
        <v>4</v>
      </c>
      <c r="B3" s="4" t="s">
        <v>5</v>
      </c>
      <c r="C3" s="4" t="s">
        <v>6</v>
      </c>
      <c r="D3" s="4" t="s">
        <v>7</v>
      </c>
      <c r="E3" s="12" t="s">
        <v>137</v>
      </c>
      <c r="F3" s="12" t="s">
        <v>139</v>
      </c>
      <c r="G3" s="12" t="s">
        <v>138</v>
      </c>
      <c r="H3" s="12" t="s">
        <v>141</v>
      </c>
      <c r="I3" s="12" t="s">
        <v>142</v>
      </c>
      <c r="J3" s="12" t="s">
        <v>147</v>
      </c>
      <c r="K3" s="12" t="s">
        <v>145</v>
      </c>
      <c r="L3" s="12" t="s">
        <v>146</v>
      </c>
      <c r="M3" s="12" t="s">
        <v>144</v>
      </c>
    </row>
    <row r="4" spans="1:13" ht="12.75">
      <c r="A4" s="5" t="s">
        <v>8</v>
      </c>
      <c r="B4" s="6"/>
      <c r="C4" s="6"/>
      <c r="D4" s="6"/>
      <c r="E4" s="6"/>
      <c r="F4" s="6"/>
      <c r="G4" s="45">
        <v>0</v>
      </c>
      <c r="H4" s="45"/>
      <c r="I4" s="45"/>
      <c r="J4" s="6">
        <v>0</v>
      </c>
      <c r="K4" s="6"/>
      <c r="L4" s="6"/>
      <c r="M4" s="45">
        <v>0</v>
      </c>
    </row>
    <row r="5" spans="1:13" ht="12.75">
      <c r="A5" s="5" t="s">
        <v>9</v>
      </c>
      <c r="B5" s="6"/>
      <c r="C5" s="6"/>
      <c r="D5" s="6"/>
      <c r="E5" s="6"/>
      <c r="F5" s="6"/>
      <c r="G5" s="45">
        <v>0</v>
      </c>
      <c r="H5" s="45"/>
      <c r="I5" s="45"/>
      <c r="J5" s="6">
        <v>0</v>
      </c>
      <c r="K5" s="6"/>
      <c r="L5" s="6"/>
      <c r="M5" s="45">
        <v>0</v>
      </c>
    </row>
    <row r="6" spans="1:13" ht="12.75">
      <c r="A6" s="5" t="s">
        <v>10</v>
      </c>
      <c r="B6" s="6"/>
      <c r="C6" s="6"/>
      <c r="D6" s="6"/>
      <c r="E6" s="6"/>
      <c r="F6" s="6"/>
      <c r="G6" s="45">
        <v>0</v>
      </c>
      <c r="H6" s="45"/>
      <c r="I6" s="45"/>
      <c r="J6" s="6">
        <v>0</v>
      </c>
      <c r="K6" s="6"/>
      <c r="L6" s="6"/>
      <c r="M6" s="45">
        <v>0</v>
      </c>
    </row>
    <row r="7" spans="1:13" ht="12.75">
      <c r="A7" s="5" t="s">
        <v>11</v>
      </c>
      <c r="B7" s="6"/>
      <c r="C7" s="6"/>
      <c r="D7" s="6"/>
      <c r="E7" s="6"/>
      <c r="F7" s="6"/>
      <c r="G7" s="26">
        <v>0</v>
      </c>
      <c r="H7" s="26"/>
      <c r="I7" s="26"/>
      <c r="J7" s="6">
        <v>0</v>
      </c>
      <c r="K7" s="6"/>
      <c r="L7" s="6"/>
      <c r="M7" s="45">
        <v>0</v>
      </c>
    </row>
    <row r="8" spans="1:13" ht="12.75">
      <c r="A8" s="5" t="s">
        <v>12</v>
      </c>
      <c r="B8" s="63"/>
      <c r="C8" s="61"/>
      <c r="D8" s="61"/>
      <c r="E8" s="61"/>
      <c r="F8" s="73"/>
      <c r="G8" s="26"/>
      <c r="H8" s="26"/>
      <c r="I8" s="104"/>
      <c r="J8" s="6"/>
      <c r="K8" s="6"/>
      <c r="L8" s="105"/>
      <c r="M8" s="45"/>
    </row>
    <row r="9" spans="1:13" ht="12.75">
      <c r="A9" s="5" t="s">
        <v>13</v>
      </c>
      <c r="B9" s="63"/>
      <c r="C9" s="61"/>
      <c r="D9" s="61"/>
      <c r="E9" s="61">
        <f>ROUND(3498000*0.85/1.95583,0)</f>
        <v>1520224</v>
      </c>
      <c r="F9" s="73"/>
      <c r="G9" s="26"/>
      <c r="H9" s="116"/>
      <c r="I9" s="104"/>
      <c r="J9" s="6"/>
      <c r="K9" s="6"/>
      <c r="L9" s="105"/>
      <c r="M9" s="45"/>
    </row>
    <row r="10" spans="1:13" ht="12.75">
      <c r="A10" s="5" t="s">
        <v>14</v>
      </c>
      <c r="B10" s="63"/>
      <c r="C10" s="61"/>
      <c r="D10" s="61"/>
      <c r="E10" s="61">
        <v>0</v>
      </c>
      <c r="F10" s="73"/>
      <c r="G10" s="26"/>
      <c r="H10" s="116"/>
      <c r="I10" s="104"/>
      <c r="J10" s="6"/>
      <c r="K10" s="6"/>
      <c r="L10" s="105"/>
      <c r="M10" s="45"/>
    </row>
    <row r="11" spans="1:13" ht="12.75">
      <c r="A11" s="5" t="s">
        <v>15</v>
      </c>
      <c r="B11" s="63"/>
      <c r="C11" s="61"/>
      <c r="D11" s="61"/>
      <c r="E11" s="61">
        <v>0</v>
      </c>
      <c r="F11" s="73"/>
      <c r="G11" s="26"/>
      <c r="H11" s="116">
        <f>E9*0.15</f>
        <v>228033.6</v>
      </c>
      <c r="I11" s="104"/>
      <c r="J11" s="6"/>
      <c r="K11" s="6"/>
      <c r="L11" s="105"/>
      <c r="M11" s="45"/>
    </row>
    <row r="12" spans="1:13" ht="12.75">
      <c r="A12" s="5" t="s">
        <v>16</v>
      </c>
      <c r="B12" s="63"/>
      <c r="C12" s="61"/>
      <c r="D12" s="61"/>
      <c r="E12" s="61"/>
      <c r="F12" s="73"/>
      <c r="G12" s="26"/>
      <c r="H12" s="116"/>
      <c r="I12" s="104"/>
      <c r="J12" s="6"/>
      <c r="K12" s="6">
        <v>0</v>
      </c>
      <c r="L12" s="105"/>
      <c r="M12" s="45"/>
    </row>
    <row r="13" spans="1:13" ht="12.75">
      <c r="A13" s="5" t="s">
        <v>17</v>
      </c>
      <c r="B13" s="63"/>
      <c r="C13" s="61"/>
      <c r="D13" s="61"/>
      <c r="E13" s="61">
        <v>0</v>
      </c>
      <c r="F13" s="73"/>
      <c r="G13" s="26"/>
      <c r="H13" s="116">
        <f>E9*0.1</f>
        <v>152022.4</v>
      </c>
      <c r="I13" s="104"/>
      <c r="J13" s="6"/>
      <c r="K13" s="6">
        <f>H11</f>
        <v>228033.6</v>
      </c>
      <c r="L13" s="105"/>
      <c r="M13" s="45"/>
    </row>
    <row r="14" spans="1:13" ht="12.75">
      <c r="A14" s="5" t="s">
        <v>18</v>
      </c>
      <c r="B14" s="63"/>
      <c r="C14" s="61"/>
      <c r="D14" s="61"/>
      <c r="E14" s="61">
        <v>0</v>
      </c>
      <c r="F14" s="73"/>
      <c r="G14" s="26"/>
      <c r="H14" s="116"/>
      <c r="I14" s="104"/>
      <c r="J14" s="6"/>
      <c r="K14" s="6">
        <f aca="true" t="shared" si="0" ref="K14:K22">H12</f>
        <v>0</v>
      </c>
      <c r="L14" s="105"/>
      <c r="M14" s="45"/>
    </row>
    <row r="15" spans="1:13" ht="12.75">
      <c r="A15" s="5" t="s">
        <v>19</v>
      </c>
      <c r="B15" s="63"/>
      <c r="C15" s="61"/>
      <c r="D15" s="61"/>
      <c r="E15" s="61">
        <v>0</v>
      </c>
      <c r="F15" s="73"/>
      <c r="G15" s="26"/>
      <c r="H15" s="116">
        <f>E9*0.2</f>
        <v>304044.8</v>
      </c>
      <c r="I15" s="104"/>
      <c r="J15" s="6"/>
      <c r="K15" s="6">
        <f t="shared" si="0"/>
        <v>152022.4</v>
      </c>
      <c r="L15" s="105"/>
      <c r="M15" s="45"/>
    </row>
    <row r="16" spans="1:13" ht="12.75">
      <c r="A16" s="5" t="s">
        <v>20</v>
      </c>
      <c r="B16" s="63"/>
      <c r="C16" s="61"/>
      <c r="D16" s="61"/>
      <c r="E16" s="61">
        <v>0</v>
      </c>
      <c r="F16" s="73"/>
      <c r="G16" s="26"/>
      <c r="I16" s="104"/>
      <c r="J16" s="6"/>
      <c r="K16" s="6">
        <f t="shared" si="0"/>
        <v>0</v>
      </c>
      <c r="L16" s="105"/>
      <c r="M16" s="45"/>
    </row>
    <row r="17" spans="1:13" ht="12.75">
      <c r="A17" s="5" t="s">
        <v>21</v>
      </c>
      <c r="B17" s="63"/>
      <c r="C17" s="61"/>
      <c r="D17" s="61"/>
      <c r="E17" s="61">
        <v>0</v>
      </c>
      <c r="F17" s="73"/>
      <c r="G17" s="26"/>
      <c r="H17" s="116">
        <f>E9*0.2</f>
        <v>304044.8</v>
      </c>
      <c r="I17" s="104"/>
      <c r="J17" s="6"/>
      <c r="K17" s="6">
        <f t="shared" si="0"/>
        <v>304044.8</v>
      </c>
      <c r="L17" s="105"/>
      <c r="M17" s="45"/>
    </row>
    <row r="18" spans="1:13" ht="12.75">
      <c r="A18" s="5" t="s">
        <v>22</v>
      </c>
      <c r="B18" s="63"/>
      <c r="C18" s="61"/>
      <c r="D18" s="61"/>
      <c r="E18" s="61">
        <v>0</v>
      </c>
      <c r="F18" s="73"/>
      <c r="G18" s="26"/>
      <c r="H18" s="116">
        <f>E9*0.15</f>
        <v>228033.6</v>
      </c>
      <c r="I18" s="104"/>
      <c r="J18" s="6"/>
      <c r="K18" s="6">
        <f t="shared" si="0"/>
        <v>0</v>
      </c>
      <c r="L18" s="105"/>
      <c r="M18" s="45"/>
    </row>
    <row r="19" spans="1:13" ht="12.75">
      <c r="A19" s="5" t="s">
        <v>23</v>
      </c>
      <c r="B19" s="63"/>
      <c r="C19" s="61"/>
      <c r="D19" s="61"/>
      <c r="E19" s="61">
        <v>0</v>
      </c>
      <c r="F19" s="73"/>
      <c r="G19" s="26"/>
      <c r="H19" s="116">
        <v>0</v>
      </c>
      <c r="I19" s="104"/>
      <c r="J19" s="6"/>
      <c r="K19" s="6">
        <f t="shared" si="0"/>
        <v>304044.8</v>
      </c>
      <c r="L19" s="105"/>
      <c r="M19" s="45"/>
    </row>
    <row r="20" spans="1:13" ht="12.75">
      <c r="A20" s="5" t="s">
        <v>24</v>
      </c>
      <c r="B20" s="63"/>
      <c r="C20" s="61"/>
      <c r="D20" s="62"/>
      <c r="E20" s="61"/>
      <c r="F20" s="73"/>
      <c r="G20" s="26"/>
      <c r="H20" s="116">
        <f>E9*0.2</f>
        <v>304044.8</v>
      </c>
      <c r="I20" s="104"/>
      <c r="J20" s="6"/>
      <c r="K20" s="6">
        <f t="shared" si="0"/>
        <v>228033.6</v>
      </c>
      <c r="L20" s="105"/>
      <c r="M20" s="45"/>
    </row>
    <row r="21" spans="1:13" ht="12.75">
      <c r="A21" s="5" t="s">
        <v>25</v>
      </c>
      <c r="B21" s="63"/>
      <c r="C21" s="61"/>
      <c r="D21" s="61"/>
      <c r="E21" s="61">
        <v>0</v>
      </c>
      <c r="F21" s="73"/>
      <c r="G21" s="26"/>
      <c r="H21" s="116"/>
      <c r="I21" s="104"/>
      <c r="J21" s="6"/>
      <c r="K21" s="6">
        <f t="shared" si="0"/>
        <v>0</v>
      </c>
      <c r="L21" s="105"/>
      <c r="M21" s="45"/>
    </row>
    <row r="22" spans="1:13" ht="12.75">
      <c r="A22" s="5" t="s">
        <v>26</v>
      </c>
      <c r="B22" s="63"/>
      <c r="C22" s="61"/>
      <c r="D22" s="61"/>
      <c r="E22" s="61">
        <v>0</v>
      </c>
      <c r="F22" s="73"/>
      <c r="G22" s="26"/>
      <c r="H22" s="116">
        <v>0</v>
      </c>
      <c r="I22" s="104"/>
      <c r="J22" s="6"/>
      <c r="K22" s="6">
        <f t="shared" si="0"/>
        <v>304044.8</v>
      </c>
      <c r="L22" s="105"/>
      <c r="M22" s="45"/>
    </row>
    <row r="23" spans="1:13" ht="12.75">
      <c r="A23" s="5" t="s">
        <v>27</v>
      </c>
      <c r="B23" s="63"/>
      <c r="C23" s="61"/>
      <c r="D23" s="61"/>
      <c r="E23" s="61">
        <v>0</v>
      </c>
      <c r="F23" s="73"/>
      <c r="G23" s="26"/>
      <c r="H23" s="116">
        <f>E20*0.2</f>
        <v>0</v>
      </c>
      <c r="I23" s="104"/>
      <c r="J23" s="6"/>
      <c r="K23" s="6">
        <f aca="true" t="shared" si="1" ref="K23:K39">H21</f>
        <v>0</v>
      </c>
      <c r="L23" s="105"/>
      <c r="M23" s="6"/>
    </row>
    <row r="24" spans="1:13" ht="12.75">
      <c r="A24" s="5" t="s">
        <v>28</v>
      </c>
      <c r="B24" s="63"/>
      <c r="C24" s="61"/>
      <c r="D24" s="61"/>
      <c r="E24" s="61">
        <v>0</v>
      </c>
      <c r="F24" s="73"/>
      <c r="G24" s="26"/>
      <c r="H24" s="116">
        <f>E20*0.15+E22*0.2</f>
        <v>0</v>
      </c>
      <c r="I24" s="104"/>
      <c r="J24" s="6"/>
      <c r="K24" s="6">
        <f t="shared" si="1"/>
        <v>0</v>
      </c>
      <c r="L24" s="105"/>
      <c r="M24" s="6"/>
    </row>
    <row r="25" spans="1:13" ht="12.75">
      <c r="A25" s="5" t="s">
        <v>29</v>
      </c>
      <c r="B25" s="63"/>
      <c r="C25" s="61"/>
      <c r="D25" s="61"/>
      <c r="E25" s="61">
        <v>0</v>
      </c>
      <c r="F25" s="73"/>
      <c r="G25" s="26"/>
      <c r="H25" s="116">
        <f>E20*0.15</f>
        <v>0</v>
      </c>
      <c r="I25" s="104"/>
      <c r="J25" s="6"/>
      <c r="K25" s="6">
        <f t="shared" si="1"/>
        <v>0</v>
      </c>
      <c r="L25" s="105"/>
      <c r="M25" s="6"/>
    </row>
    <row r="26" spans="1:13" ht="12.75">
      <c r="A26" s="5" t="s">
        <v>30</v>
      </c>
      <c r="B26" s="63"/>
      <c r="C26" s="61"/>
      <c r="D26" s="61"/>
      <c r="E26" s="61">
        <v>0</v>
      </c>
      <c r="F26" s="73"/>
      <c r="G26" s="26"/>
      <c r="H26" s="116">
        <f>E20*0.1+E22*0.2</f>
        <v>0</v>
      </c>
      <c r="I26" s="104"/>
      <c r="J26" s="6"/>
      <c r="K26" s="6">
        <f t="shared" si="1"/>
        <v>0</v>
      </c>
      <c r="L26" s="105"/>
      <c r="M26" s="6"/>
    </row>
    <row r="27" spans="1:13" ht="12.75">
      <c r="A27" s="5" t="s">
        <v>31</v>
      </c>
      <c r="B27" s="63"/>
      <c r="C27" s="61"/>
      <c r="D27" s="61"/>
      <c r="E27" s="61">
        <v>0</v>
      </c>
      <c r="F27" s="73"/>
      <c r="G27" s="26"/>
      <c r="H27" s="116">
        <f>E22*0.2</f>
        <v>0</v>
      </c>
      <c r="I27" s="104"/>
      <c r="J27" s="6"/>
      <c r="K27" s="6">
        <f t="shared" si="1"/>
        <v>0</v>
      </c>
      <c r="L27" s="105"/>
      <c r="M27" s="6"/>
    </row>
    <row r="28" spans="1:13" ht="12.75">
      <c r="A28" s="5" t="s">
        <v>32</v>
      </c>
      <c r="B28" s="63"/>
      <c r="C28" s="61"/>
      <c r="D28" s="61"/>
      <c r="E28" s="61"/>
      <c r="F28" s="73"/>
      <c r="G28" s="26"/>
      <c r="H28" s="116">
        <f>E20*0.2</f>
        <v>0</v>
      </c>
      <c r="I28" s="104"/>
      <c r="J28" s="6"/>
      <c r="K28" s="6">
        <f t="shared" si="1"/>
        <v>0</v>
      </c>
      <c r="L28" s="105"/>
      <c r="M28" s="6"/>
    </row>
    <row r="29" spans="1:13" ht="12.75">
      <c r="A29" s="5" t="s">
        <v>33</v>
      </c>
      <c r="B29" s="61"/>
      <c r="C29" s="61"/>
      <c r="D29" s="62"/>
      <c r="E29" s="62"/>
      <c r="F29" s="73"/>
      <c r="G29" s="26"/>
      <c r="H29" s="116">
        <f>E28*0.2</f>
        <v>0</v>
      </c>
      <c r="I29" s="104"/>
      <c r="J29" s="6"/>
      <c r="K29" s="6">
        <f t="shared" si="1"/>
        <v>0</v>
      </c>
      <c r="L29" s="105"/>
      <c r="M29" s="6"/>
    </row>
    <row r="30" spans="1:13" ht="12.75">
      <c r="A30" s="5" t="s">
        <v>34</v>
      </c>
      <c r="B30" s="61"/>
      <c r="C30" s="61"/>
      <c r="D30" s="62"/>
      <c r="E30" s="62"/>
      <c r="F30" s="62"/>
      <c r="G30" s="6"/>
      <c r="H30" s="116"/>
      <c r="I30" s="104"/>
      <c r="J30" s="6"/>
      <c r="K30" s="6">
        <f t="shared" si="1"/>
        <v>0</v>
      </c>
      <c r="L30" s="105"/>
      <c r="M30" s="6"/>
    </row>
    <row r="31" spans="1:13" ht="12.75">
      <c r="A31" s="5" t="s">
        <v>35</v>
      </c>
      <c r="B31" s="61"/>
      <c r="C31" s="61"/>
      <c r="D31" s="62"/>
      <c r="E31" s="62"/>
      <c r="F31" s="62"/>
      <c r="G31" s="6"/>
      <c r="H31" s="116">
        <f>E28*0.2</f>
        <v>0</v>
      </c>
      <c r="I31" s="104"/>
      <c r="J31" s="6"/>
      <c r="K31" s="6">
        <f t="shared" si="1"/>
        <v>0</v>
      </c>
      <c r="L31" s="105"/>
      <c r="M31" s="6"/>
    </row>
    <row r="32" spans="1:13" ht="12.75">
      <c r="A32" s="5" t="s">
        <v>36</v>
      </c>
      <c r="B32" s="61"/>
      <c r="C32" s="61"/>
      <c r="D32" s="62"/>
      <c r="E32" s="62"/>
      <c r="F32" s="62"/>
      <c r="G32" s="6"/>
      <c r="H32" s="116"/>
      <c r="I32" s="104"/>
      <c r="J32" s="6"/>
      <c r="K32" s="6">
        <f t="shared" si="1"/>
        <v>0</v>
      </c>
      <c r="L32" s="105"/>
      <c r="M32" s="6"/>
    </row>
    <row r="33" spans="1:13" ht="12.75">
      <c r="A33" s="5" t="s">
        <v>37</v>
      </c>
      <c r="B33" s="57"/>
      <c r="C33" s="57"/>
      <c r="D33" s="58"/>
      <c r="E33" s="58"/>
      <c r="F33" s="58"/>
      <c r="G33" s="6"/>
      <c r="H33" s="116">
        <f>E28*0.2</f>
        <v>0</v>
      </c>
      <c r="I33" s="104"/>
      <c r="J33" s="6"/>
      <c r="K33" s="6">
        <f t="shared" si="1"/>
        <v>0</v>
      </c>
      <c r="L33" s="105"/>
      <c r="M33" s="6"/>
    </row>
    <row r="34" spans="1:13" ht="12.75">
      <c r="A34" s="5" t="s">
        <v>38</v>
      </c>
      <c r="B34" s="57"/>
      <c r="C34" s="57"/>
      <c r="D34" s="58"/>
      <c r="E34" s="58"/>
      <c r="F34" s="58"/>
      <c r="G34" s="6"/>
      <c r="H34" s="116"/>
      <c r="I34" s="104"/>
      <c r="J34" s="6"/>
      <c r="K34" s="6">
        <f t="shared" si="1"/>
        <v>0</v>
      </c>
      <c r="L34" s="105"/>
      <c r="M34" s="6"/>
    </row>
    <row r="35" spans="1:13" ht="12.75">
      <c r="A35" s="5" t="s">
        <v>39</v>
      </c>
      <c r="B35" s="57"/>
      <c r="C35" s="57"/>
      <c r="D35" s="58"/>
      <c r="E35" s="58"/>
      <c r="F35" s="58"/>
      <c r="G35" s="6"/>
      <c r="H35" s="116">
        <f>E28*0.2</f>
        <v>0</v>
      </c>
      <c r="I35" s="104"/>
      <c r="J35" s="6"/>
      <c r="K35" s="6">
        <f t="shared" si="1"/>
        <v>0</v>
      </c>
      <c r="L35" s="105"/>
      <c r="M35" s="6"/>
    </row>
    <row r="36" spans="1:13" ht="12.75">
      <c r="A36" s="5" t="s">
        <v>40</v>
      </c>
      <c r="B36" s="57"/>
      <c r="C36" s="58"/>
      <c r="D36" s="58"/>
      <c r="E36" s="115"/>
      <c r="F36" s="58"/>
      <c r="G36" s="6"/>
      <c r="I36" s="104"/>
      <c r="J36" s="6"/>
      <c r="K36" s="6">
        <f t="shared" si="1"/>
        <v>0</v>
      </c>
      <c r="L36" s="105"/>
      <c r="M36" s="6"/>
    </row>
    <row r="37" spans="1:13" ht="12.75">
      <c r="A37" s="5" t="s">
        <v>41</v>
      </c>
      <c r="B37" s="57"/>
      <c r="C37" s="58"/>
      <c r="D37" s="58"/>
      <c r="E37" s="58"/>
      <c r="F37" s="58"/>
      <c r="G37" s="6"/>
      <c r="H37" s="116">
        <f>E28*0.2</f>
        <v>0</v>
      </c>
      <c r="I37" s="104"/>
      <c r="J37" s="6"/>
      <c r="K37" s="6">
        <f t="shared" si="1"/>
        <v>0</v>
      </c>
      <c r="L37" s="105"/>
      <c r="M37" s="6"/>
    </row>
    <row r="38" spans="1:13" ht="12.75">
      <c r="A38" s="5" t="s">
        <v>42</v>
      </c>
      <c r="B38" s="57"/>
      <c r="C38" s="58"/>
      <c r="D38" s="58"/>
      <c r="E38" s="58"/>
      <c r="F38" s="58"/>
      <c r="G38" s="6"/>
      <c r="H38" s="26"/>
      <c r="I38" s="6"/>
      <c r="J38" s="6"/>
      <c r="K38" s="6">
        <f t="shared" si="1"/>
        <v>0</v>
      </c>
      <c r="L38" s="105"/>
      <c r="M38" s="6"/>
    </row>
    <row r="39" spans="1:13" ht="12.75">
      <c r="A39" s="5" t="s">
        <v>43</v>
      </c>
      <c r="B39" s="57"/>
      <c r="C39" s="58"/>
      <c r="D39" s="58"/>
      <c r="E39" s="58"/>
      <c r="F39" s="58"/>
      <c r="H39" s="6"/>
      <c r="J39" s="6"/>
      <c r="K39" s="6">
        <f t="shared" si="1"/>
        <v>0</v>
      </c>
      <c r="L39" s="105"/>
      <c r="M39" s="6"/>
    </row>
    <row r="40" spans="1:13" ht="12.75">
      <c r="A40" s="5"/>
      <c r="B40" s="6"/>
      <c r="G40" s="6"/>
      <c r="I40" s="6"/>
      <c r="J40" s="6"/>
      <c r="K40" s="6"/>
      <c r="L40" s="6"/>
      <c r="M40" s="6"/>
    </row>
    <row r="41" spans="8:13" ht="12.75">
      <c r="H41" s="6"/>
      <c r="J41" s="6"/>
      <c r="K41" s="6"/>
      <c r="L41" s="6"/>
      <c r="M41" s="6"/>
    </row>
    <row r="42" spans="11:13" ht="12.75">
      <c r="K42" s="6"/>
      <c r="L42" s="6"/>
      <c r="M42" s="6"/>
    </row>
    <row r="43" ht="12.75">
      <c r="M43" s="6"/>
    </row>
    <row r="44" ht="12.75">
      <c r="A44" t="s">
        <v>58</v>
      </c>
    </row>
    <row r="46" spans="1:13" ht="43.5" customHeight="1">
      <c r="A46" s="4" t="s">
        <v>4</v>
      </c>
      <c r="B46" s="4" t="s">
        <v>5</v>
      </c>
      <c r="C46" s="4" t="s">
        <v>6</v>
      </c>
      <c r="D46" s="4" t="s">
        <v>7</v>
      </c>
      <c r="E46" s="12" t="s">
        <v>137</v>
      </c>
      <c r="F46" s="12" t="s">
        <v>139</v>
      </c>
      <c r="G46" s="12" t="s">
        <v>138</v>
      </c>
      <c r="H46" s="12" t="s">
        <v>141</v>
      </c>
      <c r="I46" s="12" t="s">
        <v>142</v>
      </c>
      <c r="J46" s="12" t="s">
        <v>147</v>
      </c>
      <c r="K46" s="12" t="s">
        <v>145</v>
      </c>
      <c r="L46" s="12" t="s">
        <v>146</v>
      </c>
      <c r="M46" s="12" t="s">
        <v>144</v>
      </c>
    </row>
    <row r="47" spans="1:13" ht="12.75">
      <c r="A47" s="5" t="s">
        <v>8</v>
      </c>
      <c r="B47">
        <v>0</v>
      </c>
      <c r="C47" s="6">
        <v>0</v>
      </c>
      <c r="D47" s="6">
        <v>0</v>
      </c>
      <c r="E47" s="6"/>
      <c r="F47" s="6"/>
      <c r="G47" s="6">
        <f>G4</f>
        <v>0</v>
      </c>
      <c r="H47" s="6"/>
      <c r="I47" s="6"/>
      <c r="J47" s="6">
        <f>J4</f>
        <v>0</v>
      </c>
      <c r="K47" s="6"/>
      <c r="L47" s="6"/>
      <c r="M47" s="6">
        <f>M4</f>
        <v>0</v>
      </c>
    </row>
    <row r="48" spans="1:13" ht="12.75">
      <c r="A48" s="5" t="s">
        <v>9</v>
      </c>
      <c r="B48">
        <v>0</v>
      </c>
      <c r="C48" s="6">
        <v>0</v>
      </c>
      <c r="D48" s="6">
        <v>0</v>
      </c>
      <c r="E48" s="6"/>
      <c r="F48" s="6"/>
      <c r="G48" s="6">
        <f>G47+G5</f>
        <v>0</v>
      </c>
      <c r="H48" s="6"/>
      <c r="I48" s="6"/>
      <c r="J48" s="6">
        <f>J47+J5</f>
        <v>0</v>
      </c>
      <c r="K48" s="6"/>
      <c r="L48" s="6"/>
      <c r="M48" s="6">
        <f>M47+M5</f>
        <v>0</v>
      </c>
    </row>
    <row r="49" spans="1:13" ht="12.75">
      <c r="A49" s="5" t="s">
        <v>10</v>
      </c>
      <c r="B49">
        <v>0</v>
      </c>
      <c r="C49" s="6">
        <v>0</v>
      </c>
      <c r="D49" s="6">
        <v>0</v>
      </c>
      <c r="E49" s="6"/>
      <c r="F49" s="6"/>
      <c r="G49" s="6">
        <f>G48+G6</f>
        <v>0</v>
      </c>
      <c r="H49" s="6"/>
      <c r="I49" s="6"/>
      <c r="J49" s="6">
        <f>J48+J6</f>
        <v>0</v>
      </c>
      <c r="K49" s="6"/>
      <c r="L49" s="6"/>
      <c r="M49" s="6">
        <f>M48+M6</f>
        <v>0</v>
      </c>
    </row>
    <row r="50" spans="1:13" ht="12.75">
      <c r="A50" s="5" t="s">
        <v>11</v>
      </c>
      <c r="B50" s="6"/>
      <c r="C50" s="6"/>
      <c r="D50" s="6"/>
      <c r="E50" s="6"/>
      <c r="F50" s="6"/>
      <c r="G50" s="6">
        <f>G49+G7</f>
        <v>0</v>
      </c>
      <c r="H50" s="6"/>
      <c r="I50" s="6"/>
      <c r="J50" s="6">
        <f>J49+J7</f>
        <v>0</v>
      </c>
      <c r="K50" s="6"/>
      <c r="L50" s="6"/>
      <c r="M50" s="6">
        <f>M49+M7</f>
        <v>0</v>
      </c>
    </row>
    <row r="51" spans="1:13" ht="12.75">
      <c r="A51" s="5" t="s">
        <v>12</v>
      </c>
      <c r="B51" s="6"/>
      <c r="C51" s="6"/>
      <c r="D51" s="6"/>
      <c r="E51" s="6">
        <f aca="true" t="shared" si="2" ref="E51:E82">E50+E8</f>
        <v>0</v>
      </c>
      <c r="F51" s="6"/>
      <c r="G51" s="6">
        <f>G50+G8</f>
        <v>0</v>
      </c>
      <c r="H51" s="6"/>
      <c r="I51" s="6"/>
      <c r="J51" s="6">
        <f>J50+J8</f>
        <v>0</v>
      </c>
      <c r="K51" s="6"/>
      <c r="L51" s="6"/>
      <c r="M51" s="6">
        <f>M50+M8</f>
        <v>0</v>
      </c>
    </row>
    <row r="52" spans="1:13" ht="12.75">
      <c r="A52" s="5" t="s">
        <v>13</v>
      </c>
      <c r="B52" s="6"/>
      <c r="C52" s="6"/>
      <c r="D52" s="6"/>
      <c r="E52" s="6">
        <f t="shared" si="2"/>
        <v>1520224</v>
      </c>
      <c r="F52" s="6"/>
      <c r="G52" s="6">
        <f>G51+G9</f>
        <v>0</v>
      </c>
      <c r="H52" s="6">
        <f>H51+H10</f>
        <v>0</v>
      </c>
      <c r="I52" s="6"/>
      <c r="J52" s="6">
        <f>J51+J9</f>
        <v>0</v>
      </c>
      <c r="K52" s="6"/>
      <c r="L52" s="6"/>
      <c r="M52" s="6">
        <f>M51+M9</f>
        <v>0</v>
      </c>
    </row>
    <row r="53" spans="1:13" ht="12.75">
      <c r="A53" s="5" t="s">
        <v>14</v>
      </c>
      <c r="B53" s="6"/>
      <c r="C53" s="6"/>
      <c r="D53" s="6"/>
      <c r="E53" s="6">
        <f t="shared" si="2"/>
        <v>1520224</v>
      </c>
      <c r="F53" s="6"/>
      <c r="G53" s="6"/>
      <c r="H53" s="6">
        <f aca="true" t="shared" si="3" ref="H53:H82">H52+H10</f>
        <v>0</v>
      </c>
      <c r="I53" s="6"/>
      <c r="J53" s="6"/>
      <c r="K53" s="6">
        <f aca="true" t="shared" si="4" ref="K53:K82">K52+K10</f>
        <v>0</v>
      </c>
      <c r="L53" s="6"/>
      <c r="M53" s="6"/>
    </row>
    <row r="54" spans="1:13" ht="12.75">
      <c r="A54" s="5" t="s">
        <v>15</v>
      </c>
      <c r="B54" s="6"/>
      <c r="C54" s="6"/>
      <c r="D54" s="6"/>
      <c r="E54" s="6">
        <f t="shared" si="2"/>
        <v>1520224</v>
      </c>
      <c r="F54" s="6"/>
      <c r="G54" s="6"/>
      <c r="H54" s="6">
        <f t="shared" si="3"/>
        <v>228033.6</v>
      </c>
      <c r="I54" s="6"/>
      <c r="J54" s="6"/>
      <c r="K54" s="6">
        <f t="shared" si="4"/>
        <v>0</v>
      </c>
      <c r="L54" s="6"/>
      <c r="M54" s="6"/>
    </row>
    <row r="55" spans="1:13" ht="12.75">
      <c r="A55" s="5" t="s">
        <v>16</v>
      </c>
      <c r="B55" s="6"/>
      <c r="C55" s="6"/>
      <c r="D55" s="6"/>
      <c r="E55" s="6">
        <f t="shared" si="2"/>
        <v>1520224</v>
      </c>
      <c r="F55" s="6"/>
      <c r="G55" s="6"/>
      <c r="H55" s="6">
        <f t="shared" si="3"/>
        <v>228033.6</v>
      </c>
      <c r="I55" s="6"/>
      <c r="J55" s="6"/>
      <c r="K55" s="6">
        <f t="shared" si="4"/>
        <v>0</v>
      </c>
      <c r="L55" s="6"/>
      <c r="M55" s="6"/>
    </row>
    <row r="56" spans="1:13" ht="12.75">
      <c r="A56" s="5" t="s">
        <v>17</v>
      </c>
      <c r="B56" s="6"/>
      <c r="C56" s="6"/>
      <c r="D56" s="6"/>
      <c r="E56" s="6">
        <f t="shared" si="2"/>
        <v>1520224</v>
      </c>
      <c r="F56" s="6"/>
      <c r="G56" s="6"/>
      <c r="H56" s="6">
        <f t="shared" si="3"/>
        <v>380056</v>
      </c>
      <c r="I56" s="6"/>
      <c r="J56" s="6"/>
      <c r="K56" s="6">
        <f t="shared" si="4"/>
        <v>228033.6</v>
      </c>
      <c r="L56" s="6"/>
      <c r="M56" s="6"/>
    </row>
    <row r="57" spans="1:13" ht="12.75">
      <c r="A57" s="5" t="s">
        <v>18</v>
      </c>
      <c r="B57" s="6"/>
      <c r="C57" s="6"/>
      <c r="D57" s="6"/>
      <c r="E57" s="6">
        <f t="shared" si="2"/>
        <v>1520224</v>
      </c>
      <c r="F57" s="6"/>
      <c r="G57" s="6"/>
      <c r="H57" s="6">
        <f t="shared" si="3"/>
        <v>380056</v>
      </c>
      <c r="I57" s="6"/>
      <c r="J57" s="6"/>
      <c r="K57" s="6">
        <f t="shared" si="4"/>
        <v>228033.6</v>
      </c>
      <c r="L57" s="6"/>
      <c r="M57" s="6"/>
    </row>
    <row r="58" spans="1:13" ht="12.75">
      <c r="A58" s="5" t="s">
        <v>19</v>
      </c>
      <c r="B58" s="6"/>
      <c r="C58" s="6"/>
      <c r="D58" s="6"/>
      <c r="E58" s="6">
        <f t="shared" si="2"/>
        <v>1520224</v>
      </c>
      <c r="F58" s="6"/>
      <c r="G58" s="6"/>
      <c r="H58" s="6">
        <f t="shared" si="3"/>
        <v>684100.8</v>
      </c>
      <c r="I58" s="6"/>
      <c r="J58" s="6"/>
      <c r="K58" s="6">
        <f t="shared" si="4"/>
        <v>380056</v>
      </c>
      <c r="L58" s="6"/>
      <c r="M58" s="6"/>
    </row>
    <row r="59" spans="1:13" ht="12.75">
      <c r="A59" s="5" t="s">
        <v>20</v>
      </c>
      <c r="B59" s="6"/>
      <c r="C59" s="6"/>
      <c r="D59" s="6"/>
      <c r="E59" s="6">
        <f t="shared" si="2"/>
        <v>1520224</v>
      </c>
      <c r="F59" s="6"/>
      <c r="G59" s="6"/>
      <c r="H59" s="6">
        <f t="shared" si="3"/>
        <v>684100.8</v>
      </c>
      <c r="I59" s="6"/>
      <c r="J59" s="6"/>
      <c r="K59" s="6">
        <f t="shared" si="4"/>
        <v>380056</v>
      </c>
      <c r="L59" s="6"/>
      <c r="M59" s="6"/>
    </row>
    <row r="60" spans="1:13" ht="12.75">
      <c r="A60" s="5" t="s">
        <v>21</v>
      </c>
      <c r="B60" s="6"/>
      <c r="C60" s="6"/>
      <c r="D60" s="6"/>
      <c r="E60" s="6">
        <f t="shared" si="2"/>
        <v>1520224</v>
      </c>
      <c r="F60" s="6"/>
      <c r="G60" s="6"/>
      <c r="H60" s="6">
        <f t="shared" si="3"/>
        <v>988145.6000000001</v>
      </c>
      <c r="I60" s="6"/>
      <c r="J60" s="6"/>
      <c r="K60" s="6">
        <f t="shared" si="4"/>
        <v>684100.8</v>
      </c>
      <c r="L60" s="6"/>
      <c r="M60" s="6"/>
    </row>
    <row r="61" spans="1:13" ht="12.75">
      <c r="A61" s="5" t="s">
        <v>22</v>
      </c>
      <c r="B61" s="6"/>
      <c r="C61" s="6"/>
      <c r="D61" s="6"/>
      <c r="E61" s="6">
        <f t="shared" si="2"/>
        <v>1520224</v>
      </c>
      <c r="F61" s="6"/>
      <c r="G61" s="6"/>
      <c r="H61" s="6">
        <f t="shared" si="3"/>
        <v>1216179.2000000002</v>
      </c>
      <c r="I61" s="6"/>
      <c r="J61" s="6"/>
      <c r="K61" s="6">
        <f t="shared" si="4"/>
        <v>684100.8</v>
      </c>
      <c r="L61" s="6"/>
      <c r="M61" s="6"/>
    </row>
    <row r="62" spans="1:13" ht="12.75">
      <c r="A62" s="5" t="s">
        <v>23</v>
      </c>
      <c r="B62" s="6"/>
      <c r="C62" s="6"/>
      <c r="D62" s="6"/>
      <c r="E62" s="6">
        <f t="shared" si="2"/>
        <v>1520224</v>
      </c>
      <c r="F62" s="6"/>
      <c r="G62" s="6"/>
      <c r="H62" s="6">
        <f t="shared" si="3"/>
        <v>1216179.2000000002</v>
      </c>
      <c r="I62" s="6"/>
      <c r="J62" s="6"/>
      <c r="K62" s="6">
        <f t="shared" si="4"/>
        <v>988145.6000000001</v>
      </c>
      <c r="L62" s="6"/>
      <c r="M62" s="6"/>
    </row>
    <row r="63" spans="1:13" ht="12.75">
      <c r="A63" s="5" t="s">
        <v>24</v>
      </c>
      <c r="B63" s="6"/>
      <c r="C63" s="6"/>
      <c r="D63" s="6"/>
      <c r="E63" s="6">
        <f t="shared" si="2"/>
        <v>1520224</v>
      </c>
      <c r="F63" s="6"/>
      <c r="G63" s="6"/>
      <c r="H63" s="6">
        <f t="shared" si="3"/>
        <v>1520224.0000000002</v>
      </c>
      <c r="I63" s="6"/>
      <c r="J63" s="6"/>
      <c r="K63" s="6">
        <f t="shared" si="4"/>
        <v>1216179.2000000002</v>
      </c>
      <c r="L63" s="6"/>
      <c r="M63" s="6"/>
    </row>
    <row r="64" spans="1:13" ht="12.75">
      <c r="A64" s="5" t="s">
        <v>25</v>
      </c>
      <c r="B64" s="6"/>
      <c r="C64" s="6"/>
      <c r="D64" s="6"/>
      <c r="E64" s="6">
        <f t="shared" si="2"/>
        <v>1520224</v>
      </c>
      <c r="F64" s="6"/>
      <c r="G64" s="6"/>
      <c r="H64" s="6">
        <f t="shared" si="3"/>
        <v>1520224.0000000002</v>
      </c>
      <c r="I64" s="6"/>
      <c r="J64" s="6"/>
      <c r="K64" s="6">
        <f t="shared" si="4"/>
        <v>1216179.2000000002</v>
      </c>
      <c r="L64" s="6"/>
      <c r="M64" s="6"/>
    </row>
    <row r="65" spans="1:13" ht="12.75">
      <c r="A65" s="5" t="s">
        <v>26</v>
      </c>
      <c r="B65" s="6"/>
      <c r="C65" s="6"/>
      <c r="D65" s="6"/>
      <c r="E65" s="6">
        <f t="shared" si="2"/>
        <v>1520224</v>
      </c>
      <c r="F65" s="6"/>
      <c r="G65" s="6"/>
      <c r="H65" s="6">
        <f t="shared" si="3"/>
        <v>1520224.0000000002</v>
      </c>
      <c r="I65" s="6"/>
      <c r="J65" s="6"/>
      <c r="K65" s="6">
        <f t="shared" si="4"/>
        <v>1520224.0000000002</v>
      </c>
      <c r="L65" s="6"/>
      <c r="M65" s="6"/>
    </row>
    <row r="66" spans="1:13" ht="12.75">
      <c r="A66" s="5" t="s">
        <v>27</v>
      </c>
      <c r="B66" s="6"/>
      <c r="C66" s="6"/>
      <c r="D66" s="6"/>
      <c r="E66" s="6">
        <f t="shared" si="2"/>
        <v>1520224</v>
      </c>
      <c r="F66" s="6"/>
      <c r="G66" s="6"/>
      <c r="H66" s="6">
        <f t="shared" si="3"/>
        <v>1520224.0000000002</v>
      </c>
      <c r="I66" s="6"/>
      <c r="J66" s="6"/>
      <c r="K66" s="6">
        <f t="shared" si="4"/>
        <v>1520224.0000000002</v>
      </c>
      <c r="L66" s="6"/>
      <c r="M66" s="6"/>
    </row>
    <row r="67" spans="1:13" ht="12.75">
      <c r="A67" s="5" t="s">
        <v>28</v>
      </c>
      <c r="E67" s="6">
        <f t="shared" si="2"/>
        <v>1520224</v>
      </c>
      <c r="G67" s="6"/>
      <c r="H67" s="6">
        <f t="shared" si="3"/>
        <v>1520224.0000000002</v>
      </c>
      <c r="I67" s="6"/>
      <c r="J67" s="6"/>
      <c r="K67" s="6">
        <f t="shared" si="4"/>
        <v>1520224.0000000002</v>
      </c>
      <c r="L67" s="6"/>
      <c r="M67" s="6"/>
    </row>
    <row r="68" spans="1:13" ht="12.75">
      <c r="A68" s="5" t="s">
        <v>29</v>
      </c>
      <c r="E68" s="6">
        <f t="shared" si="2"/>
        <v>1520224</v>
      </c>
      <c r="G68" s="6"/>
      <c r="H68" s="6">
        <f t="shared" si="3"/>
        <v>1520224.0000000002</v>
      </c>
      <c r="I68" s="6"/>
      <c r="J68" s="6"/>
      <c r="K68" s="6">
        <f t="shared" si="4"/>
        <v>1520224.0000000002</v>
      </c>
      <c r="L68" s="6"/>
      <c r="M68" s="6"/>
    </row>
    <row r="69" spans="1:13" ht="12.75">
      <c r="A69" s="5" t="s">
        <v>30</v>
      </c>
      <c r="E69" s="6">
        <f t="shared" si="2"/>
        <v>1520224</v>
      </c>
      <c r="G69" s="6"/>
      <c r="H69" s="6">
        <f t="shared" si="3"/>
        <v>1520224.0000000002</v>
      </c>
      <c r="I69" s="6"/>
      <c r="J69" s="6"/>
      <c r="K69" s="6">
        <f t="shared" si="4"/>
        <v>1520224.0000000002</v>
      </c>
      <c r="L69" s="6"/>
      <c r="M69" s="6"/>
    </row>
    <row r="70" spans="1:13" ht="12.75">
      <c r="A70" s="5" t="s">
        <v>31</v>
      </c>
      <c r="E70" s="6">
        <f t="shared" si="2"/>
        <v>1520224</v>
      </c>
      <c r="G70" s="6"/>
      <c r="H70" s="6">
        <f t="shared" si="3"/>
        <v>1520224.0000000002</v>
      </c>
      <c r="I70" s="6"/>
      <c r="J70" s="6"/>
      <c r="K70" s="6">
        <f t="shared" si="4"/>
        <v>1520224.0000000002</v>
      </c>
      <c r="L70" s="6"/>
      <c r="M70" s="6"/>
    </row>
    <row r="71" spans="1:13" ht="12.75">
      <c r="A71" s="5" t="s">
        <v>32</v>
      </c>
      <c r="E71" s="6">
        <f t="shared" si="2"/>
        <v>1520224</v>
      </c>
      <c r="G71" s="6"/>
      <c r="H71" s="6">
        <f t="shared" si="3"/>
        <v>1520224.0000000002</v>
      </c>
      <c r="I71" s="6"/>
      <c r="J71" s="6"/>
      <c r="K71" s="6">
        <f t="shared" si="4"/>
        <v>1520224.0000000002</v>
      </c>
      <c r="L71" s="6"/>
      <c r="M71" s="6"/>
    </row>
    <row r="72" spans="1:13" ht="12.75">
      <c r="A72" s="5" t="s">
        <v>33</v>
      </c>
      <c r="E72" s="6">
        <f t="shared" si="2"/>
        <v>1520224</v>
      </c>
      <c r="G72" s="6"/>
      <c r="H72" s="6">
        <f t="shared" si="3"/>
        <v>1520224.0000000002</v>
      </c>
      <c r="I72" s="6"/>
      <c r="J72" s="6"/>
      <c r="K72" s="6">
        <f t="shared" si="4"/>
        <v>1520224.0000000002</v>
      </c>
      <c r="L72" s="6"/>
      <c r="M72" s="6"/>
    </row>
    <row r="73" spans="1:13" ht="12.75">
      <c r="A73" s="5" t="s">
        <v>34</v>
      </c>
      <c r="E73" s="6">
        <f t="shared" si="2"/>
        <v>1520224</v>
      </c>
      <c r="G73" s="6"/>
      <c r="H73" s="6">
        <f t="shared" si="3"/>
        <v>1520224.0000000002</v>
      </c>
      <c r="I73" s="6"/>
      <c r="J73" s="6"/>
      <c r="K73" s="6">
        <f t="shared" si="4"/>
        <v>1520224.0000000002</v>
      </c>
      <c r="L73" s="6"/>
      <c r="M73" s="6"/>
    </row>
    <row r="74" spans="1:13" ht="12.75">
      <c r="A74" s="5" t="s">
        <v>35</v>
      </c>
      <c r="E74" s="6">
        <f t="shared" si="2"/>
        <v>1520224</v>
      </c>
      <c r="G74" s="6"/>
      <c r="H74" s="6">
        <f t="shared" si="3"/>
        <v>1520224.0000000002</v>
      </c>
      <c r="I74" s="6"/>
      <c r="J74" s="6"/>
      <c r="K74" s="6">
        <f t="shared" si="4"/>
        <v>1520224.0000000002</v>
      </c>
      <c r="L74" s="6"/>
      <c r="M74" s="6"/>
    </row>
    <row r="75" spans="1:13" ht="12.75">
      <c r="A75" s="5" t="s">
        <v>36</v>
      </c>
      <c r="E75" s="6">
        <f t="shared" si="2"/>
        <v>1520224</v>
      </c>
      <c r="G75" s="6"/>
      <c r="H75" s="6">
        <f t="shared" si="3"/>
        <v>1520224.0000000002</v>
      </c>
      <c r="I75" s="6"/>
      <c r="J75" s="6"/>
      <c r="K75" s="6">
        <f t="shared" si="4"/>
        <v>1520224.0000000002</v>
      </c>
      <c r="L75" s="6"/>
      <c r="M75" s="6"/>
    </row>
    <row r="76" spans="1:13" ht="12.75">
      <c r="A76" s="5" t="s">
        <v>37</v>
      </c>
      <c r="E76" s="6">
        <f t="shared" si="2"/>
        <v>1520224</v>
      </c>
      <c r="G76" s="6"/>
      <c r="H76" s="6">
        <f t="shared" si="3"/>
        <v>1520224.0000000002</v>
      </c>
      <c r="I76" s="6"/>
      <c r="J76" s="6"/>
      <c r="K76" s="6">
        <f t="shared" si="4"/>
        <v>1520224.0000000002</v>
      </c>
      <c r="L76" s="6"/>
      <c r="M76" s="6"/>
    </row>
    <row r="77" spans="1:13" ht="12.75">
      <c r="A77" s="5" t="s">
        <v>38</v>
      </c>
      <c r="E77" s="6">
        <f t="shared" si="2"/>
        <v>1520224</v>
      </c>
      <c r="G77" s="6"/>
      <c r="H77" s="6">
        <f t="shared" si="3"/>
        <v>1520224.0000000002</v>
      </c>
      <c r="I77" s="6"/>
      <c r="J77" s="6"/>
      <c r="K77" s="6">
        <f t="shared" si="4"/>
        <v>1520224.0000000002</v>
      </c>
      <c r="L77" s="6"/>
      <c r="M77" s="6"/>
    </row>
    <row r="78" spans="1:13" ht="12.75">
      <c r="A78" s="5" t="s">
        <v>39</v>
      </c>
      <c r="E78" s="6">
        <f t="shared" si="2"/>
        <v>1520224</v>
      </c>
      <c r="G78" s="6"/>
      <c r="H78" s="6">
        <f t="shared" si="3"/>
        <v>1520224.0000000002</v>
      </c>
      <c r="I78" s="6"/>
      <c r="J78" s="6"/>
      <c r="K78" s="6">
        <f t="shared" si="4"/>
        <v>1520224.0000000002</v>
      </c>
      <c r="L78" s="6"/>
      <c r="M78" s="6"/>
    </row>
    <row r="79" spans="1:13" ht="12.75">
      <c r="A79" s="5" t="s">
        <v>40</v>
      </c>
      <c r="E79" s="6">
        <f t="shared" si="2"/>
        <v>1520224</v>
      </c>
      <c r="G79" s="6"/>
      <c r="H79" s="6">
        <f t="shared" si="3"/>
        <v>1520224.0000000002</v>
      </c>
      <c r="I79" s="6"/>
      <c r="J79" s="6"/>
      <c r="K79" s="6">
        <f t="shared" si="4"/>
        <v>1520224.0000000002</v>
      </c>
      <c r="L79" s="6"/>
      <c r="M79" s="6"/>
    </row>
    <row r="80" spans="1:13" ht="12.75">
      <c r="A80" s="5" t="s">
        <v>41</v>
      </c>
      <c r="E80" s="6">
        <f t="shared" si="2"/>
        <v>1520224</v>
      </c>
      <c r="G80" s="6"/>
      <c r="H80" s="6">
        <f t="shared" si="3"/>
        <v>1520224.0000000002</v>
      </c>
      <c r="I80" s="6"/>
      <c r="J80" s="6"/>
      <c r="K80" s="6">
        <f t="shared" si="4"/>
        <v>1520224.0000000002</v>
      </c>
      <c r="L80" s="6"/>
      <c r="M80" s="6"/>
    </row>
    <row r="81" spans="1:13" ht="12.75">
      <c r="A81" s="5" t="s">
        <v>42</v>
      </c>
      <c r="E81" s="6">
        <f t="shared" si="2"/>
        <v>1520224</v>
      </c>
      <c r="G81" s="6"/>
      <c r="H81" s="6">
        <f t="shared" si="3"/>
        <v>1520224.0000000002</v>
      </c>
      <c r="I81" s="6"/>
      <c r="J81" s="6"/>
      <c r="K81" s="6">
        <f t="shared" si="4"/>
        <v>1520224.0000000002</v>
      </c>
      <c r="L81" s="6"/>
      <c r="M81" s="6"/>
    </row>
    <row r="82" spans="1:13" ht="12.75">
      <c r="A82" s="5" t="s">
        <v>43</v>
      </c>
      <c r="E82" s="6">
        <f t="shared" si="2"/>
        <v>1520224</v>
      </c>
      <c r="G82" s="6"/>
      <c r="H82" s="6">
        <f t="shared" si="3"/>
        <v>1520224.0000000002</v>
      </c>
      <c r="I82" s="6"/>
      <c r="J82" s="6"/>
      <c r="K82" s="6">
        <f t="shared" si="4"/>
        <v>1520224.0000000002</v>
      </c>
      <c r="L82" s="6"/>
      <c r="M82" s="6"/>
    </row>
  </sheetData>
  <mergeCells count="2">
    <mergeCell ref="A1:K2"/>
    <mergeCell ref="L1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H17" sqref="H17"/>
    </sheetView>
  </sheetViews>
  <sheetFormatPr defaultColWidth="9.140625" defaultRowHeight="12.75"/>
  <cols>
    <col min="2" max="2" width="13.7109375" style="0" customWidth="1"/>
    <col min="3" max="3" width="14.140625" style="0" customWidth="1"/>
    <col min="4" max="4" width="15.00390625" style="0" customWidth="1"/>
    <col min="5" max="5" width="11.7109375" style="0" customWidth="1"/>
    <col min="6" max="6" width="13.7109375" style="0" customWidth="1"/>
    <col min="7" max="7" width="14.421875" style="0" customWidth="1"/>
    <col min="8" max="8" width="11.57421875" style="0" customWidth="1"/>
    <col min="9" max="9" width="14.57421875" style="0" customWidth="1"/>
    <col min="10" max="10" width="14.28125" style="0" customWidth="1"/>
    <col min="11" max="11" width="11.421875" style="0" customWidth="1"/>
    <col min="12" max="12" width="11.8515625" style="0" customWidth="1"/>
    <col min="13" max="13" width="12.00390625" style="0" customWidth="1"/>
  </cols>
  <sheetData>
    <row r="1" spans="1:13" ht="12.75">
      <c r="A1" s="161" t="s">
        <v>192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2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38.25">
      <c r="A3" s="4" t="s">
        <v>4</v>
      </c>
      <c r="B3" s="4" t="s">
        <v>5</v>
      </c>
      <c r="C3" s="4" t="s">
        <v>6</v>
      </c>
      <c r="D3" s="4" t="s">
        <v>7</v>
      </c>
      <c r="E3" s="12" t="s">
        <v>137</v>
      </c>
      <c r="F3" s="12" t="s">
        <v>139</v>
      </c>
      <c r="G3" s="12" t="s">
        <v>138</v>
      </c>
      <c r="H3" s="12" t="s">
        <v>141</v>
      </c>
      <c r="I3" s="12" t="s">
        <v>142</v>
      </c>
      <c r="J3" s="12" t="s">
        <v>147</v>
      </c>
      <c r="K3" s="12" t="s">
        <v>145</v>
      </c>
      <c r="L3" s="12" t="s">
        <v>146</v>
      </c>
      <c r="M3" s="12" t="s">
        <v>144</v>
      </c>
    </row>
    <row r="4" spans="1:13" ht="12.75">
      <c r="A4" s="5" t="s">
        <v>8</v>
      </c>
      <c r="B4" s="6"/>
      <c r="C4" s="6"/>
      <c r="D4" s="6"/>
      <c r="E4" s="6"/>
      <c r="F4" s="6"/>
      <c r="G4" s="45">
        <v>0</v>
      </c>
      <c r="H4" s="45"/>
      <c r="I4" s="45"/>
      <c r="J4" s="6">
        <v>0</v>
      </c>
      <c r="K4" s="6"/>
      <c r="L4" s="6"/>
      <c r="M4" s="45">
        <v>0</v>
      </c>
    </row>
    <row r="5" spans="1:13" ht="12.75">
      <c r="A5" s="5" t="s">
        <v>9</v>
      </c>
      <c r="B5" s="6"/>
      <c r="C5" s="6"/>
      <c r="D5" s="6"/>
      <c r="E5" s="6"/>
      <c r="F5" s="6"/>
      <c r="G5" s="45">
        <v>0</v>
      </c>
      <c r="H5" s="45"/>
      <c r="I5" s="45"/>
      <c r="J5" s="6">
        <v>0</v>
      </c>
      <c r="K5" s="6"/>
      <c r="L5" s="6"/>
      <c r="M5" s="45">
        <v>0</v>
      </c>
    </row>
    <row r="6" spans="1:13" ht="12.75">
      <c r="A6" s="5" t="s">
        <v>10</v>
      </c>
      <c r="B6" s="6"/>
      <c r="C6" s="6"/>
      <c r="D6" s="6"/>
      <c r="E6" s="6"/>
      <c r="F6" s="6"/>
      <c r="G6" s="45">
        <v>0</v>
      </c>
      <c r="H6" s="45"/>
      <c r="I6" s="45"/>
      <c r="J6" s="6">
        <v>0</v>
      </c>
      <c r="K6" s="6"/>
      <c r="L6" s="6"/>
      <c r="M6" s="45">
        <v>0</v>
      </c>
    </row>
    <row r="7" spans="1:13" ht="12.75">
      <c r="A7" s="5" t="s">
        <v>11</v>
      </c>
      <c r="B7" s="6"/>
      <c r="C7" s="6"/>
      <c r="D7" s="6"/>
      <c r="E7" s="6"/>
      <c r="F7" s="6"/>
      <c r="G7" s="26">
        <v>0</v>
      </c>
      <c r="H7" s="26"/>
      <c r="I7" s="26"/>
      <c r="J7" s="6">
        <v>0</v>
      </c>
      <c r="K7" s="6"/>
      <c r="L7" s="6"/>
      <c r="M7" s="45">
        <v>0</v>
      </c>
    </row>
    <row r="8" spans="1:13" ht="12.75">
      <c r="A8" s="5" t="s">
        <v>12</v>
      </c>
      <c r="B8" s="63"/>
      <c r="C8" s="61"/>
      <c r="D8" s="61"/>
      <c r="E8" s="61"/>
      <c r="F8" s="73"/>
      <c r="G8" s="26"/>
      <c r="H8" s="26"/>
      <c r="I8" s="104"/>
      <c r="J8" s="6"/>
      <c r="K8" s="6"/>
      <c r="L8" s="105"/>
      <c r="M8" s="45"/>
    </row>
    <row r="9" spans="1:13" ht="12.75">
      <c r="A9" s="5" t="s">
        <v>13</v>
      </c>
      <c r="B9" s="63"/>
      <c r="C9" s="61"/>
      <c r="D9" s="61"/>
      <c r="E9">
        <v>0</v>
      </c>
      <c r="F9" s="73"/>
      <c r="G9" s="26"/>
      <c r="H9" s="116"/>
      <c r="I9" s="104"/>
      <c r="J9" s="6"/>
      <c r="K9" s="6"/>
      <c r="L9" s="105"/>
      <c r="M9" s="45"/>
    </row>
    <row r="10" spans="1:13" ht="12.75">
      <c r="A10" s="5" t="s">
        <v>14</v>
      </c>
      <c r="B10" s="63"/>
      <c r="C10" s="61"/>
      <c r="D10" s="61"/>
      <c r="E10" s="61">
        <f>5980000*0.85/1.95583</f>
        <v>2598896.632120379</v>
      </c>
      <c r="F10" s="73"/>
      <c r="G10" s="26"/>
      <c r="H10" s="116"/>
      <c r="I10" s="104"/>
      <c r="J10" s="6"/>
      <c r="K10" s="6"/>
      <c r="L10" s="105"/>
      <c r="M10" s="45"/>
    </row>
    <row r="11" spans="1:13" ht="12.75">
      <c r="A11" s="5" t="s">
        <v>15</v>
      </c>
      <c r="B11" s="63"/>
      <c r="C11" s="61"/>
      <c r="D11" s="61"/>
      <c r="E11" s="61">
        <v>0</v>
      </c>
      <c r="F11" s="73"/>
      <c r="G11" s="26"/>
      <c r="I11" s="104"/>
      <c r="J11" s="6"/>
      <c r="K11" s="6"/>
      <c r="L11" s="105"/>
      <c r="M11" s="45"/>
    </row>
    <row r="12" spans="1:13" ht="12.75">
      <c r="A12" s="5" t="s">
        <v>16</v>
      </c>
      <c r="B12" s="63"/>
      <c r="C12" s="61"/>
      <c r="D12" s="61"/>
      <c r="E12" s="61"/>
      <c r="F12" s="73"/>
      <c r="G12" s="26"/>
      <c r="I12" s="104"/>
      <c r="J12" s="6"/>
      <c r="K12" s="6">
        <v>0</v>
      </c>
      <c r="L12" s="105"/>
      <c r="M12" s="45"/>
    </row>
    <row r="13" spans="1:13" ht="12.75">
      <c r="A13" s="5" t="s">
        <v>17</v>
      </c>
      <c r="B13" s="63"/>
      <c r="C13" s="61"/>
      <c r="D13" s="61"/>
      <c r="E13" s="61">
        <v>0</v>
      </c>
      <c r="F13" s="73"/>
      <c r="G13" s="26"/>
      <c r="H13" s="116">
        <f>E10*0.2</f>
        <v>519779.32642407576</v>
      </c>
      <c r="I13" s="104"/>
      <c r="J13" s="6"/>
      <c r="K13" s="6"/>
      <c r="L13" s="105"/>
      <c r="M13" s="45"/>
    </row>
    <row r="14" spans="1:13" ht="12.75">
      <c r="A14" s="5" t="s">
        <v>18</v>
      </c>
      <c r="B14" s="63"/>
      <c r="C14" s="61"/>
      <c r="D14" s="61"/>
      <c r="E14" s="61">
        <v>0</v>
      </c>
      <c r="F14" s="73"/>
      <c r="G14" s="26"/>
      <c r="H14" s="116"/>
      <c r="I14" s="104"/>
      <c r="J14" s="6"/>
      <c r="K14" s="6"/>
      <c r="L14" s="105"/>
      <c r="M14" s="45"/>
    </row>
    <row r="15" spans="1:13" ht="12.75">
      <c r="A15" s="5" t="s">
        <v>19</v>
      </c>
      <c r="B15" s="63"/>
      <c r="C15" s="61"/>
      <c r="D15" s="61"/>
      <c r="E15" s="61">
        <v>0</v>
      </c>
      <c r="F15" s="73"/>
      <c r="G15" s="26"/>
      <c r="H15" s="116">
        <f>$E$15*0.25</f>
        <v>0</v>
      </c>
      <c r="I15" s="104"/>
      <c r="J15" s="6"/>
      <c r="K15" s="6">
        <f>H13</f>
        <v>519779.32642407576</v>
      </c>
      <c r="L15" s="105"/>
      <c r="M15" s="45"/>
    </row>
    <row r="16" spans="1:13" ht="12.75">
      <c r="A16" s="5" t="s">
        <v>20</v>
      </c>
      <c r="B16" s="63"/>
      <c r="C16" s="61"/>
      <c r="D16" s="61"/>
      <c r="E16" s="61">
        <v>0</v>
      </c>
      <c r="F16" s="73"/>
      <c r="G16" s="26"/>
      <c r="H16" s="116">
        <f>E10*0.15</f>
        <v>389834.4948180568</v>
      </c>
      <c r="I16" s="104"/>
      <c r="J16" s="6"/>
      <c r="K16" s="6">
        <f aca="true" t="shared" si="0" ref="K16:K36">H14</f>
        <v>0</v>
      </c>
      <c r="L16" s="105"/>
      <c r="M16" s="45"/>
    </row>
    <row r="17" spans="1:13" ht="12.75">
      <c r="A17" s="5" t="s">
        <v>21</v>
      </c>
      <c r="B17" s="63"/>
      <c r="C17" s="61"/>
      <c r="D17" s="61"/>
      <c r="E17" s="61">
        <v>0</v>
      </c>
      <c r="F17" s="73"/>
      <c r="G17" s="26"/>
      <c r="H17" s="116">
        <f>$E$15*0.2</f>
        <v>0</v>
      </c>
      <c r="I17" s="104"/>
      <c r="J17" s="6"/>
      <c r="K17" s="6">
        <f t="shared" si="0"/>
        <v>0</v>
      </c>
      <c r="L17" s="105"/>
      <c r="M17" s="45"/>
    </row>
    <row r="18" spans="1:13" ht="12.75">
      <c r="A18" s="5" t="s">
        <v>22</v>
      </c>
      <c r="B18" s="63"/>
      <c r="C18" s="61"/>
      <c r="D18" s="61"/>
      <c r="E18" s="61">
        <v>0</v>
      </c>
      <c r="F18" s="73"/>
      <c r="G18" s="26"/>
      <c r="H18" s="116">
        <f>$E$15*0.05</f>
        <v>0</v>
      </c>
      <c r="I18" s="104"/>
      <c r="J18" s="6"/>
      <c r="K18" s="6">
        <f t="shared" si="0"/>
        <v>389834.4948180568</v>
      </c>
      <c r="L18" s="105"/>
      <c r="M18" s="45"/>
    </row>
    <row r="19" spans="1:13" ht="12.75">
      <c r="A19" s="5" t="s">
        <v>23</v>
      </c>
      <c r="B19" s="63"/>
      <c r="C19" s="61"/>
      <c r="D19" s="61"/>
      <c r="E19" s="61">
        <v>0</v>
      </c>
      <c r="F19" s="73"/>
      <c r="G19" s="26"/>
      <c r="H19" s="116">
        <f>E12*0.1</f>
        <v>0</v>
      </c>
      <c r="I19" s="104"/>
      <c r="J19" s="6"/>
      <c r="K19" s="6">
        <f t="shared" si="0"/>
        <v>0</v>
      </c>
      <c r="L19" s="105"/>
      <c r="M19" s="45"/>
    </row>
    <row r="20" spans="1:13" ht="12.75">
      <c r="A20" s="5" t="s">
        <v>24</v>
      </c>
      <c r="B20" s="63"/>
      <c r="C20" s="61"/>
      <c r="D20" s="62"/>
      <c r="E20" s="61"/>
      <c r="F20" s="73"/>
      <c r="G20" s="26"/>
      <c r="H20" s="116">
        <f>E10*0.15</f>
        <v>389834.4948180568</v>
      </c>
      <c r="I20" s="104"/>
      <c r="J20" s="6"/>
      <c r="K20" s="6">
        <f t="shared" si="0"/>
        <v>0</v>
      </c>
      <c r="L20" s="105"/>
      <c r="M20" s="45"/>
    </row>
    <row r="21" spans="1:13" ht="12.75">
      <c r="A21" s="5" t="s">
        <v>25</v>
      </c>
      <c r="B21" s="63"/>
      <c r="C21" s="61"/>
      <c r="D21" s="61"/>
      <c r="E21" s="61">
        <v>0</v>
      </c>
      <c r="F21" s="73"/>
      <c r="G21" s="26"/>
      <c r="H21" s="116">
        <f>E20*0.2</f>
        <v>0</v>
      </c>
      <c r="I21" s="104"/>
      <c r="J21" s="6"/>
      <c r="K21" s="6">
        <f t="shared" si="0"/>
        <v>0</v>
      </c>
      <c r="L21" s="105"/>
      <c r="M21" s="45"/>
    </row>
    <row r="22" spans="1:13" ht="12.75">
      <c r="A22" s="5" t="s">
        <v>26</v>
      </c>
      <c r="B22" s="63"/>
      <c r="C22" s="61"/>
      <c r="D22" s="61"/>
      <c r="E22" s="61">
        <v>0</v>
      </c>
      <c r="F22" s="73"/>
      <c r="G22" s="26"/>
      <c r="H22" s="116">
        <f>E22*0.2</f>
        <v>0</v>
      </c>
      <c r="I22" s="104"/>
      <c r="J22" s="6"/>
      <c r="K22" s="6">
        <f t="shared" si="0"/>
        <v>389834.4948180568</v>
      </c>
      <c r="L22" s="105"/>
      <c r="M22" s="45"/>
    </row>
    <row r="23" spans="1:13" ht="12.75">
      <c r="A23" s="5" t="s">
        <v>27</v>
      </c>
      <c r="B23" s="63"/>
      <c r="C23" s="61"/>
      <c r="D23" s="61"/>
      <c r="E23" s="61">
        <v>0</v>
      </c>
      <c r="F23" s="73"/>
      <c r="G23" s="26"/>
      <c r="H23" s="116">
        <f>E20*0.2</f>
        <v>0</v>
      </c>
      <c r="I23" s="104"/>
      <c r="J23" s="6"/>
      <c r="K23" s="6">
        <f t="shared" si="0"/>
        <v>0</v>
      </c>
      <c r="L23" s="105"/>
      <c r="M23" s="6"/>
    </row>
    <row r="24" spans="1:13" ht="12.75">
      <c r="A24" s="5" t="s">
        <v>28</v>
      </c>
      <c r="B24" s="63"/>
      <c r="C24" s="61"/>
      <c r="D24" s="61"/>
      <c r="E24" s="61">
        <v>0</v>
      </c>
      <c r="F24" s="73"/>
      <c r="G24" s="26"/>
      <c r="H24" s="116">
        <f>E10*0.15</f>
        <v>389834.4948180568</v>
      </c>
      <c r="I24" s="104"/>
      <c r="J24" s="6"/>
      <c r="K24" s="6">
        <f t="shared" si="0"/>
        <v>0</v>
      </c>
      <c r="L24" s="105"/>
      <c r="M24" s="6"/>
    </row>
    <row r="25" spans="1:13" ht="12.75">
      <c r="A25" s="5" t="s">
        <v>29</v>
      </c>
      <c r="B25" s="63"/>
      <c r="C25" s="61"/>
      <c r="D25" s="61"/>
      <c r="E25" s="61">
        <v>0</v>
      </c>
      <c r="F25" s="73"/>
      <c r="G25" s="26"/>
      <c r="H25" s="116">
        <f>E20*0.15</f>
        <v>0</v>
      </c>
      <c r="I25" s="104"/>
      <c r="J25" s="6"/>
      <c r="K25" s="6">
        <f t="shared" si="0"/>
        <v>0</v>
      </c>
      <c r="L25" s="105"/>
      <c r="M25" s="6"/>
    </row>
    <row r="26" spans="1:13" ht="12.75">
      <c r="A26" s="5" t="s">
        <v>30</v>
      </c>
      <c r="B26" s="63"/>
      <c r="C26" s="61"/>
      <c r="D26" s="61"/>
      <c r="E26" s="61">
        <v>0</v>
      </c>
      <c r="F26" s="73"/>
      <c r="G26" s="26"/>
      <c r="H26" s="116">
        <f>E20*0.1+E22*0.2</f>
        <v>0</v>
      </c>
      <c r="I26" s="104"/>
      <c r="J26" s="6"/>
      <c r="K26" s="6">
        <f t="shared" si="0"/>
        <v>389834.4948180568</v>
      </c>
      <c r="L26" s="105"/>
      <c r="M26" s="6"/>
    </row>
    <row r="27" spans="1:13" ht="12.75">
      <c r="A27" s="5" t="s">
        <v>31</v>
      </c>
      <c r="B27" s="63"/>
      <c r="C27" s="61"/>
      <c r="D27" s="61"/>
      <c r="E27" s="61">
        <v>0</v>
      </c>
      <c r="F27" s="73"/>
      <c r="G27" s="26"/>
      <c r="H27" s="116">
        <f>E22*0.2</f>
        <v>0</v>
      </c>
      <c r="I27" s="104"/>
      <c r="J27" s="6"/>
      <c r="K27" s="6">
        <f t="shared" si="0"/>
        <v>0</v>
      </c>
      <c r="L27" s="105"/>
      <c r="M27" s="6"/>
    </row>
    <row r="28" spans="1:13" ht="12.75">
      <c r="A28" s="5" t="s">
        <v>32</v>
      </c>
      <c r="B28" s="63"/>
      <c r="C28" s="61"/>
      <c r="D28" s="61"/>
      <c r="E28" s="61"/>
      <c r="F28" s="73"/>
      <c r="G28" s="26"/>
      <c r="H28" s="116">
        <f>E10*0.15</f>
        <v>389834.4948180568</v>
      </c>
      <c r="I28" s="104"/>
      <c r="J28" s="6"/>
      <c r="K28" s="6">
        <f t="shared" si="0"/>
        <v>0</v>
      </c>
      <c r="L28" s="105"/>
      <c r="M28" s="6"/>
    </row>
    <row r="29" spans="1:13" ht="12.75">
      <c r="A29" s="5" t="s">
        <v>33</v>
      </c>
      <c r="B29" s="61"/>
      <c r="C29" s="61"/>
      <c r="D29" s="62"/>
      <c r="E29" s="62"/>
      <c r="F29" s="73"/>
      <c r="G29" s="26"/>
      <c r="H29" s="116">
        <f>E28*0.2</f>
        <v>0</v>
      </c>
      <c r="I29" s="104"/>
      <c r="J29" s="6"/>
      <c r="K29" s="6">
        <f t="shared" si="0"/>
        <v>0</v>
      </c>
      <c r="L29" s="105"/>
      <c r="M29" s="6"/>
    </row>
    <row r="30" spans="1:13" ht="12.75">
      <c r="A30" s="5" t="s">
        <v>34</v>
      </c>
      <c r="B30" s="61"/>
      <c r="C30" s="61"/>
      <c r="D30" s="62"/>
      <c r="E30" s="62"/>
      <c r="F30" s="62"/>
      <c r="G30" s="6"/>
      <c r="H30" s="116"/>
      <c r="I30" s="104"/>
      <c r="J30" s="6"/>
      <c r="K30" s="6">
        <f t="shared" si="0"/>
        <v>389834.4948180568</v>
      </c>
      <c r="L30" s="105"/>
      <c r="M30" s="6"/>
    </row>
    <row r="31" spans="1:13" ht="12.75">
      <c r="A31" s="5" t="s">
        <v>35</v>
      </c>
      <c r="B31" s="61"/>
      <c r="C31" s="61"/>
      <c r="D31" s="62"/>
      <c r="E31" s="62"/>
      <c r="F31" s="62"/>
      <c r="G31" s="6"/>
      <c r="H31" s="116">
        <f>E28*0.2</f>
        <v>0</v>
      </c>
      <c r="I31" s="104"/>
      <c r="J31" s="6"/>
      <c r="K31" s="6">
        <f t="shared" si="0"/>
        <v>0</v>
      </c>
      <c r="L31" s="105"/>
      <c r="M31" s="6"/>
    </row>
    <row r="32" spans="1:13" ht="12.75">
      <c r="A32" s="5" t="s">
        <v>36</v>
      </c>
      <c r="B32" s="61"/>
      <c r="C32" s="61"/>
      <c r="D32" s="62"/>
      <c r="E32" s="62"/>
      <c r="F32" s="62"/>
      <c r="G32" s="6"/>
      <c r="H32" s="116"/>
      <c r="I32" s="104"/>
      <c r="J32" s="6"/>
      <c r="K32" s="6">
        <f t="shared" si="0"/>
        <v>0</v>
      </c>
      <c r="L32" s="105"/>
      <c r="M32" s="6"/>
    </row>
    <row r="33" spans="1:13" ht="12.75">
      <c r="A33" s="5" t="s">
        <v>37</v>
      </c>
      <c r="B33" s="57"/>
      <c r="C33" s="57"/>
      <c r="D33" s="58"/>
      <c r="E33" s="58"/>
      <c r="F33" s="58"/>
      <c r="G33" s="6"/>
      <c r="H33" s="116">
        <f>E28*0.2</f>
        <v>0</v>
      </c>
      <c r="I33" s="104"/>
      <c r="J33" s="6"/>
      <c r="K33" s="6">
        <f>K38</f>
        <v>259889.66321203788</v>
      </c>
      <c r="L33" s="105"/>
      <c r="M33" s="6"/>
    </row>
    <row r="34" spans="1:13" ht="12.75">
      <c r="A34" s="5" t="s">
        <v>38</v>
      </c>
      <c r="B34" s="57"/>
      <c r="C34" s="57"/>
      <c r="D34" s="58"/>
      <c r="E34" s="58"/>
      <c r="F34" s="58"/>
      <c r="G34" s="6"/>
      <c r="H34" s="116"/>
      <c r="I34" s="104"/>
      <c r="J34" s="6"/>
      <c r="K34" s="6">
        <f t="shared" si="0"/>
        <v>0</v>
      </c>
      <c r="L34" s="105"/>
      <c r="M34" s="6"/>
    </row>
    <row r="35" spans="1:13" ht="12.75">
      <c r="A35" s="5" t="s">
        <v>39</v>
      </c>
      <c r="B35" s="57"/>
      <c r="C35" s="57"/>
      <c r="D35" s="58"/>
      <c r="E35" s="58"/>
      <c r="F35" s="58"/>
      <c r="G35" s="6"/>
      <c r="H35" s="116">
        <f>E28*0.2</f>
        <v>0</v>
      </c>
      <c r="I35" s="104"/>
      <c r="J35" s="6"/>
      <c r="K35" s="6">
        <f t="shared" si="0"/>
        <v>0</v>
      </c>
      <c r="L35" s="105"/>
      <c r="M35" s="6"/>
    </row>
    <row r="36" spans="1:13" ht="12.75">
      <c r="A36" s="5" t="s">
        <v>40</v>
      </c>
      <c r="B36" s="57"/>
      <c r="C36" s="58"/>
      <c r="D36" s="58"/>
      <c r="E36" s="115"/>
      <c r="F36" s="58"/>
      <c r="G36" s="6"/>
      <c r="H36" s="116">
        <f>E10*0.2</f>
        <v>519779.32642407576</v>
      </c>
      <c r="I36" s="104"/>
      <c r="J36" s="6"/>
      <c r="K36" s="6">
        <f t="shared" si="0"/>
        <v>0</v>
      </c>
      <c r="L36" s="105"/>
      <c r="M36" s="6"/>
    </row>
    <row r="37" spans="1:13" ht="12.75">
      <c r="A37" s="5" t="s">
        <v>41</v>
      </c>
      <c r="B37" s="57"/>
      <c r="C37" s="58"/>
      <c r="D37" s="58"/>
      <c r="E37" s="58"/>
      <c r="F37" s="58"/>
      <c r="G37" s="6"/>
      <c r="H37" s="116">
        <f>E28*0.2</f>
        <v>0</v>
      </c>
      <c r="I37" s="104"/>
      <c r="J37" s="6"/>
      <c r="K37" s="6">
        <f>H35</f>
        <v>0</v>
      </c>
      <c r="L37" s="105"/>
      <c r="M37" s="6"/>
    </row>
    <row r="38" spans="1:13" ht="12.75">
      <c r="A38" s="5" t="s">
        <v>42</v>
      </c>
      <c r="B38" s="57"/>
      <c r="C38" s="58"/>
      <c r="D38" s="58"/>
      <c r="E38" s="58"/>
      <c r="F38" s="58"/>
      <c r="G38" s="6"/>
      <c r="H38" s="26"/>
      <c r="I38" s="6"/>
      <c r="J38" s="6"/>
      <c r="K38" s="6">
        <f>H36/2</f>
        <v>259889.66321203788</v>
      </c>
      <c r="L38" s="105"/>
      <c r="M38" s="6"/>
    </row>
    <row r="39" spans="1:13" ht="12.75">
      <c r="A39" s="5" t="s">
        <v>43</v>
      </c>
      <c r="B39" s="57"/>
      <c r="C39" s="58"/>
      <c r="D39" s="58"/>
      <c r="E39" s="58"/>
      <c r="F39" s="58"/>
      <c r="H39" s="6"/>
      <c r="J39" s="6"/>
      <c r="K39" s="6">
        <f>H37</f>
        <v>0</v>
      </c>
      <c r="L39" s="105"/>
      <c r="M39" s="6"/>
    </row>
    <row r="40" spans="1:13" ht="12.75">
      <c r="A40" s="5"/>
      <c r="B40" s="6"/>
      <c r="G40" s="6"/>
      <c r="I40" s="6"/>
      <c r="J40" s="6"/>
      <c r="K40" s="6"/>
      <c r="L40" s="6"/>
      <c r="M40" s="6"/>
    </row>
    <row r="41" spans="8:13" ht="12.75">
      <c r="H41" s="6"/>
      <c r="J41" s="6"/>
      <c r="K41" s="6"/>
      <c r="L41" s="6"/>
      <c r="M41" s="6"/>
    </row>
    <row r="42" spans="11:13" ht="12.75">
      <c r="K42" s="6"/>
      <c r="L42" s="6"/>
      <c r="M42" s="6"/>
    </row>
    <row r="43" ht="12.75">
      <c r="M43" s="6"/>
    </row>
    <row r="44" ht="12.75">
      <c r="A44" t="s">
        <v>58</v>
      </c>
    </row>
    <row r="46" spans="1:13" ht="38.25">
      <c r="A46" s="4" t="s">
        <v>4</v>
      </c>
      <c r="B46" s="4" t="s">
        <v>5</v>
      </c>
      <c r="C46" s="4" t="s">
        <v>6</v>
      </c>
      <c r="D46" s="4" t="s">
        <v>7</v>
      </c>
      <c r="E46" s="12" t="s">
        <v>137</v>
      </c>
      <c r="F46" s="12" t="s">
        <v>139</v>
      </c>
      <c r="G46" s="12" t="s">
        <v>138</v>
      </c>
      <c r="H46" s="12" t="s">
        <v>141</v>
      </c>
      <c r="I46" s="12" t="s">
        <v>142</v>
      </c>
      <c r="J46" s="12" t="s">
        <v>147</v>
      </c>
      <c r="K46" s="12" t="s">
        <v>145</v>
      </c>
      <c r="L46" s="12" t="s">
        <v>146</v>
      </c>
      <c r="M46" s="12" t="s">
        <v>144</v>
      </c>
    </row>
    <row r="47" spans="1:13" ht="12.75">
      <c r="A47" s="5" t="s">
        <v>8</v>
      </c>
      <c r="B47">
        <v>0</v>
      </c>
      <c r="C47" s="6">
        <v>0</v>
      </c>
      <c r="D47" s="6">
        <v>0</v>
      </c>
      <c r="E47" s="6"/>
      <c r="F47" s="6"/>
      <c r="G47" s="6">
        <f>G4</f>
        <v>0</v>
      </c>
      <c r="H47" s="6"/>
      <c r="I47" s="6"/>
      <c r="J47" s="6">
        <f>J4</f>
        <v>0</v>
      </c>
      <c r="K47" s="6"/>
      <c r="L47" s="6"/>
      <c r="M47" s="6">
        <f>M4</f>
        <v>0</v>
      </c>
    </row>
    <row r="48" spans="1:13" ht="12.75">
      <c r="A48" s="5" t="s">
        <v>9</v>
      </c>
      <c r="B48">
        <v>0</v>
      </c>
      <c r="C48" s="6">
        <v>0</v>
      </c>
      <c r="D48" s="6">
        <v>0</v>
      </c>
      <c r="E48" s="6"/>
      <c r="F48" s="6"/>
      <c r="G48" s="6">
        <f>G47+G5</f>
        <v>0</v>
      </c>
      <c r="H48" s="6"/>
      <c r="I48" s="6"/>
      <c r="J48" s="6">
        <f>J47+J5</f>
        <v>0</v>
      </c>
      <c r="K48" s="6"/>
      <c r="L48" s="6"/>
      <c r="M48" s="6">
        <f>M47+M5</f>
        <v>0</v>
      </c>
    </row>
    <row r="49" spans="1:13" ht="12.75">
      <c r="A49" s="5" t="s">
        <v>10</v>
      </c>
      <c r="B49">
        <v>0</v>
      </c>
      <c r="C49" s="6">
        <v>0</v>
      </c>
      <c r="D49" s="6">
        <v>0</v>
      </c>
      <c r="E49" s="6"/>
      <c r="F49" s="6"/>
      <c r="G49" s="6">
        <f>G48+G6</f>
        <v>0</v>
      </c>
      <c r="H49" s="6"/>
      <c r="I49" s="6"/>
      <c r="J49" s="6">
        <f>J48+J6</f>
        <v>0</v>
      </c>
      <c r="K49" s="6"/>
      <c r="L49" s="6"/>
      <c r="M49" s="6">
        <f>M48+M6</f>
        <v>0</v>
      </c>
    </row>
    <row r="50" spans="1:13" ht="12.75">
      <c r="A50" s="5" t="s">
        <v>11</v>
      </c>
      <c r="B50" s="6"/>
      <c r="C50" s="6"/>
      <c r="D50" s="6"/>
      <c r="E50" s="6"/>
      <c r="F50" s="6"/>
      <c r="G50" s="6">
        <f>G49+G7</f>
        <v>0</v>
      </c>
      <c r="H50" s="6"/>
      <c r="I50" s="6"/>
      <c r="J50" s="6">
        <f>J49+J7</f>
        <v>0</v>
      </c>
      <c r="K50" s="6"/>
      <c r="L50" s="6"/>
      <c r="M50" s="6">
        <f>M49+M7</f>
        <v>0</v>
      </c>
    </row>
    <row r="51" spans="1:13" ht="12.75">
      <c r="A51" s="5" t="s">
        <v>12</v>
      </c>
      <c r="B51" s="6"/>
      <c r="C51" s="6"/>
      <c r="D51" s="6"/>
      <c r="E51" s="6">
        <f aca="true" t="shared" si="1" ref="E51:E82">E50+E8</f>
        <v>0</v>
      </c>
      <c r="F51" s="6"/>
      <c r="G51" s="6">
        <f>G50+G8</f>
        <v>0</v>
      </c>
      <c r="H51" s="6"/>
      <c r="I51" s="6"/>
      <c r="J51" s="6">
        <f>J50+J8</f>
        <v>0</v>
      </c>
      <c r="K51" s="6"/>
      <c r="L51" s="6"/>
      <c r="M51" s="6">
        <f>M50+M8</f>
        <v>0</v>
      </c>
    </row>
    <row r="52" spans="1:13" ht="12.75">
      <c r="A52" s="5" t="s">
        <v>13</v>
      </c>
      <c r="B52" s="6"/>
      <c r="C52" s="6"/>
      <c r="D52" s="6"/>
      <c r="E52" s="6">
        <f t="shared" si="1"/>
        <v>0</v>
      </c>
      <c r="F52" s="6"/>
      <c r="G52" s="6">
        <f>G51+G9</f>
        <v>0</v>
      </c>
      <c r="H52" s="6">
        <f>H51+H10</f>
        <v>0</v>
      </c>
      <c r="I52" s="6"/>
      <c r="J52" s="6">
        <f>J51+J9</f>
        <v>0</v>
      </c>
      <c r="K52" s="6"/>
      <c r="L52" s="6"/>
      <c r="M52" s="6">
        <f>M51+M9</f>
        <v>0</v>
      </c>
    </row>
    <row r="53" spans="1:13" ht="12.75">
      <c r="A53" s="5" t="s">
        <v>14</v>
      </c>
      <c r="B53" s="6"/>
      <c r="C53" s="6"/>
      <c r="D53" s="6"/>
      <c r="E53" s="6">
        <f t="shared" si="1"/>
        <v>2598896.632120379</v>
      </c>
      <c r="F53" s="6"/>
      <c r="G53" s="6"/>
      <c r="H53" s="6">
        <f>H52+H10</f>
        <v>0</v>
      </c>
      <c r="I53" s="6"/>
      <c r="J53" s="6"/>
      <c r="K53" s="6">
        <f>K52+K10</f>
        <v>0</v>
      </c>
      <c r="L53" s="6"/>
      <c r="M53" s="6"/>
    </row>
    <row r="54" spans="1:13" ht="12.75">
      <c r="A54" s="5" t="s">
        <v>15</v>
      </c>
      <c r="B54" s="6"/>
      <c r="C54" s="6"/>
      <c r="D54" s="6"/>
      <c r="E54" s="6">
        <f t="shared" si="1"/>
        <v>2598896.632120379</v>
      </c>
      <c r="F54" s="6"/>
      <c r="G54" s="6"/>
      <c r="H54" s="6">
        <f>H53+H13</f>
        <v>519779.32642407576</v>
      </c>
      <c r="I54" s="6"/>
      <c r="J54" s="6"/>
      <c r="K54" s="6">
        <f aca="true" t="shared" si="2" ref="K54:K69">K53+K13</f>
        <v>0</v>
      </c>
      <c r="L54" s="6"/>
      <c r="M54" s="6"/>
    </row>
    <row r="55" spans="1:13" ht="12.75">
      <c r="A55" s="5" t="s">
        <v>16</v>
      </c>
      <c r="B55" s="6"/>
      <c r="C55" s="6"/>
      <c r="D55" s="6"/>
      <c r="E55" s="6">
        <f t="shared" si="1"/>
        <v>2598896.632120379</v>
      </c>
      <c r="F55" s="6"/>
      <c r="G55" s="6"/>
      <c r="H55" s="6">
        <f aca="true" t="shared" si="3" ref="H55:H82">H54+H14</f>
        <v>519779.32642407576</v>
      </c>
      <c r="I55" s="6"/>
      <c r="J55" s="6"/>
      <c r="K55" s="6">
        <f t="shared" si="2"/>
        <v>0</v>
      </c>
      <c r="L55" s="6"/>
      <c r="M55" s="6"/>
    </row>
    <row r="56" spans="1:13" ht="12.75">
      <c r="A56" s="5" t="s">
        <v>17</v>
      </c>
      <c r="B56" s="6"/>
      <c r="C56" s="6"/>
      <c r="D56" s="6"/>
      <c r="E56" s="6">
        <f t="shared" si="1"/>
        <v>2598896.632120379</v>
      </c>
      <c r="F56" s="6"/>
      <c r="G56" s="6"/>
      <c r="H56" s="6">
        <f t="shared" si="3"/>
        <v>519779.32642407576</v>
      </c>
      <c r="I56" s="6"/>
      <c r="J56" s="6"/>
      <c r="K56" s="6">
        <f t="shared" si="2"/>
        <v>519779.32642407576</v>
      </c>
      <c r="L56" s="6"/>
      <c r="M56" s="6"/>
    </row>
    <row r="57" spans="1:13" ht="12.75">
      <c r="A57" s="5" t="s">
        <v>18</v>
      </c>
      <c r="B57" s="6"/>
      <c r="C57" s="6"/>
      <c r="D57" s="6"/>
      <c r="E57" s="6">
        <f t="shared" si="1"/>
        <v>2598896.632120379</v>
      </c>
      <c r="F57" s="6"/>
      <c r="G57" s="6"/>
      <c r="H57" s="6">
        <f t="shared" si="3"/>
        <v>909613.8212421326</v>
      </c>
      <c r="I57" s="6"/>
      <c r="J57" s="6"/>
      <c r="K57" s="6">
        <f t="shared" si="2"/>
        <v>519779.32642407576</v>
      </c>
      <c r="L57" s="6"/>
      <c r="M57" s="6"/>
    </row>
    <row r="58" spans="1:13" ht="12.75">
      <c r="A58" s="5" t="s">
        <v>19</v>
      </c>
      <c r="B58" s="6"/>
      <c r="C58" s="6"/>
      <c r="D58" s="6"/>
      <c r="E58" s="6">
        <f t="shared" si="1"/>
        <v>2598896.632120379</v>
      </c>
      <c r="F58" s="6"/>
      <c r="G58" s="6"/>
      <c r="H58" s="6">
        <f t="shared" si="3"/>
        <v>909613.8212421326</v>
      </c>
      <c r="I58" s="6"/>
      <c r="J58" s="6"/>
      <c r="K58" s="6">
        <f t="shared" si="2"/>
        <v>519779.32642407576</v>
      </c>
      <c r="L58" s="6"/>
      <c r="M58" s="6"/>
    </row>
    <row r="59" spans="1:13" ht="12.75">
      <c r="A59" s="5" t="s">
        <v>20</v>
      </c>
      <c r="B59" s="6"/>
      <c r="C59" s="6"/>
      <c r="D59" s="6"/>
      <c r="E59" s="6">
        <f t="shared" si="1"/>
        <v>2598896.632120379</v>
      </c>
      <c r="F59" s="6"/>
      <c r="G59" s="6"/>
      <c r="H59" s="6">
        <f t="shared" si="3"/>
        <v>909613.8212421326</v>
      </c>
      <c r="I59" s="6"/>
      <c r="J59" s="6"/>
      <c r="K59" s="6">
        <f t="shared" si="2"/>
        <v>909613.8212421326</v>
      </c>
      <c r="L59" s="6"/>
      <c r="M59" s="6"/>
    </row>
    <row r="60" spans="1:13" ht="12.75">
      <c r="A60" s="5" t="s">
        <v>21</v>
      </c>
      <c r="B60" s="6"/>
      <c r="C60" s="6"/>
      <c r="D60" s="6"/>
      <c r="E60" s="6">
        <f t="shared" si="1"/>
        <v>2598896.632120379</v>
      </c>
      <c r="F60" s="6"/>
      <c r="G60" s="6"/>
      <c r="H60" s="6">
        <f t="shared" si="3"/>
        <v>909613.8212421326</v>
      </c>
      <c r="I60" s="6"/>
      <c r="J60" s="6"/>
      <c r="K60" s="6">
        <f t="shared" si="2"/>
        <v>909613.8212421326</v>
      </c>
      <c r="L60" s="6"/>
      <c r="M60" s="6"/>
    </row>
    <row r="61" spans="1:13" ht="12.75">
      <c r="A61" s="5" t="s">
        <v>22</v>
      </c>
      <c r="B61" s="6"/>
      <c r="C61" s="6"/>
      <c r="D61" s="6"/>
      <c r="E61" s="6">
        <f t="shared" si="1"/>
        <v>2598896.632120379</v>
      </c>
      <c r="F61" s="6"/>
      <c r="G61" s="6"/>
      <c r="H61" s="6">
        <f t="shared" si="3"/>
        <v>1299448.3160601894</v>
      </c>
      <c r="I61" s="6"/>
      <c r="J61" s="6"/>
      <c r="K61" s="6">
        <f t="shared" si="2"/>
        <v>909613.8212421326</v>
      </c>
      <c r="L61" s="6"/>
      <c r="M61" s="6"/>
    </row>
    <row r="62" spans="1:13" ht="12.75">
      <c r="A62" s="5" t="s">
        <v>23</v>
      </c>
      <c r="B62" s="6"/>
      <c r="C62" s="6"/>
      <c r="D62" s="6"/>
      <c r="E62" s="6">
        <f t="shared" si="1"/>
        <v>2598896.632120379</v>
      </c>
      <c r="F62" s="6"/>
      <c r="G62" s="6"/>
      <c r="H62" s="6">
        <f t="shared" si="3"/>
        <v>1299448.3160601894</v>
      </c>
      <c r="I62" s="6"/>
      <c r="J62" s="6"/>
      <c r="K62" s="6">
        <f t="shared" si="2"/>
        <v>909613.8212421326</v>
      </c>
      <c r="L62" s="6"/>
      <c r="M62" s="6"/>
    </row>
    <row r="63" spans="1:13" ht="12.75">
      <c r="A63" s="5" t="s">
        <v>24</v>
      </c>
      <c r="B63" s="6"/>
      <c r="C63" s="6"/>
      <c r="D63" s="6"/>
      <c r="E63" s="6">
        <f t="shared" si="1"/>
        <v>2598896.632120379</v>
      </c>
      <c r="F63" s="6"/>
      <c r="G63" s="6"/>
      <c r="H63" s="6">
        <f t="shared" si="3"/>
        <v>1299448.3160601894</v>
      </c>
      <c r="I63" s="6"/>
      <c r="J63" s="6"/>
      <c r="K63" s="6">
        <f t="shared" si="2"/>
        <v>1299448.3160601894</v>
      </c>
      <c r="L63" s="6"/>
      <c r="M63" s="6"/>
    </row>
    <row r="64" spans="1:13" ht="12.75">
      <c r="A64" s="5" t="s">
        <v>25</v>
      </c>
      <c r="B64" s="6"/>
      <c r="C64" s="6"/>
      <c r="D64" s="6"/>
      <c r="E64" s="6">
        <f t="shared" si="1"/>
        <v>2598896.632120379</v>
      </c>
      <c r="F64" s="6"/>
      <c r="G64" s="6"/>
      <c r="H64" s="6">
        <f t="shared" si="3"/>
        <v>1299448.3160601894</v>
      </c>
      <c r="I64" s="6"/>
      <c r="J64" s="6"/>
      <c r="K64" s="6">
        <f t="shared" si="2"/>
        <v>1299448.3160601894</v>
      </c>
      <c r="L64" s="6"/>
      <c r="M64" s="6"/>
    </row>
    <row r="65" spans="1:13" ht="12.75">
      <c r="A65" s="5" t="s">
        <v>26</v>
      </c>
      <c r="B65" s="6"/>
      <c r="C65" s="6"/>
      <c r="D65" s="6"/>
      <c r="E65" s="6">
        <f t="shared" si="1"/>
        <v>2598896.632120379</v>
      </c>
      <c r="F65" s="6"/>
      <c r="G65" s="6"/>
      <c r="H65" s="6">
        <f t="shared" si="3"/>
        <v>1689282.810878246</v>
      </c>
      <c r="I65" s="6"/>
      <c r="J65" s="6"/>
      <c r="K65" s="6">
        <f t="shared" si="2"/>
        <v>1299448.3160601894</v>
      </c>
      <c r="L65" s="6"/>
      <c r="M65" s="6"/>
    </row>
    <row r="66" spans="1:13" ht="12.75">
      <c r="A66" s="5" t="s">
        <v>27</v>
      </c>
      <c r="B66" s="6"/>
      <c r="C66" s="6"/>
      <c r="D66" s="6"/>
      <c r="E66" s="6">
        <f t="shared" si="1"/>
        <v>2598896.632120379</v>
      </c>
      <c r="F66" s="6"/>
      <c r="G66" s="6"/>
      <c r="H66" s="6">
        <f t="shared" si="3"/>
        <v>1689282.810878246</v>
      </c>
      <c r="I66" s="6"/>
      <c r="J66" s="6"/>
      <c r="K66" s="6">
        <f t="shared" si="2"/>
        <v>1299448.3160601894</v>
      </c>
      <c r="L66" s="6"/>
      <c r="M66" s="6"/>
    </row>
    <row r="67" spans="1:13" ht="12.75">
      <c r="A67" s="5" t="s">
        <v>28</v>
      </c>
      <c r="E67" s="6">
        <f t="shared" si="1"/>
        <v>2598896.632120379</v>
      </c>
      <c r="G67" s="6"/>
      <c r="H67" s="6">
        <f t="shared" si="3"/>
        <v>1689282.810878246</v>
      </c>
      <c r="I67" s="6"/>
      <c r="J67" s="6"/>
      <c r="K67" s="6">
        <f t="shared" si="2"/>
        <v>1689282.810878246</v>
      </c>
      <c r="L67" s="6"/>
      <c r="M67" s="6"/>
    </row>
    <row r="68" spans="1:13" ht="12.75">
      <c r="A68" s="5" t="s">
        <v>29</v>
      </c>
      <c r="E68" s="6">
        <f t="shared" si="1"/>
        <v>2598896.632120379</v>
      </c>
      <c r="G68" s="6"/>
      <c r="H68" s="6">
        <f t="shared" si="3"/>
        <v>1689282.810878246</v>
      </c>
      <c r="I68" s="6"/>
      <c r="J68" s="6"/>
      <c r="K68" s="6">
        <f t="shared" si="2"/>
        <v>1689282.810878246</v>
      </c>
      <c r="L68" s="6"/>
      <c r="M68" s="6"/>
    </row>
    <row r="69" spans="1:13" ht="12.75">
      <c r="A69" s="5" t="s">
        <v>30</v>
      </c>
      <c r="E69" s="6">
        <f t="shared" si="1"/>
        <v>2598896.632120379</v>
      </c>
      <c r="G69" s="6"/>
      <c r="H69" s="6">
        <f t="shared" si="3"/>
        <v>2079117.305696303</v>
      </c>
      <c r="I69" s="6"/>
      <c r="J69" s="6"/>
      <c r="K69" s="6">
        <f t="shared" si="2"/>
        <v>1689282.810878246</v>
      </c>
      <c r="L69" s="6"/>
      <c r="M69" s="6"/>
    </row>
    <row r="70" spans="1:13" ht="12.75">
      <c r="A70" s="5" t="s">
        <v>31</v>
      </c>
      <c r="E70" s="6">
        <f t="shared" si="1"/>
        <v>2598896.632120379</v>
      </c>
      <c r="G70" s="6"/>
      <c r="H70" s="6">
        <f t="shared" si="3"/>
        <v>2079117.305696303</v>
      </c>
      <c r="I70" s="6"/>
      <c r="J70" s="6"/>
      <c r="K70" s="6">
        <f aca="true" t="shared" si="4" ref="K70:K82">K69+K29</f>
        <v>1689282.810878246</v>
      </c>
      <c r="L70" s="6"/>
      <c r="M70" s="6"/>
    </row>
    <row r="71" spans="1:13" ht="12.75">
      <c r="A71" s="5" t="s">
        <v>32</v>
      </c>
      <c r="E71" s="6">
        <f t="shared" si="1"/>
        <v>2598896.632120379</v>
      </c>
      <c r="G71" s="6"/>
      <c r="H71" s="6">
        <f t="shared" si="3"/>
        <v>2079117.305696303</v>
      </c>
      <c r="I71" s="6"/>
      <c r="J71" s="6"/>
      <c r="K71" s="6">
        <f t="shared" si="4"/>
        <v>2079117.305696303</v>
      </c>
      <c r="L71" s="6"/>
      <c r="M71" s="6"/>
    </row>
    <row r="72" spans="1:13" ht="12.75">
      <c r="A72" s="5" t="s">
        <v>33</v>
      </c>
      <c r="E72" s="6">
        <f t="shared" si="1"/>
        <v>2598896.632120379</v>
      </c>
      <c r="G72" s="6"/>
      <c r="H72" s="6">
        <f t="shared" si="3"/>
        <v>2079117.305696303</v>
      </c>
      <c r="I72" s="6"/>
      <c r="J72" s="6"/>
      <c r="K72" s="6">
        <f t="shared" si="4"/>
        <v>2079117.305696303</v>
      </c>
      <c r="L72" s="6"/>
      <c r="M72" s="6"/>
    </row>
    <row r="73" spans="1:13" ht="12.75">
      <c r="A73" s="5" t="s">
        <v>34</v>
      </c>
      <c r="E73" s="6">
        <f t="shared" si="1"/>
        <v>2598896.632120379</v>
      </c>
      <c r="G73" s="6"/>
      <c r="H73" s="6">
        <f t="shared" si="3"/>
        <v>2079117.305696303</v>
      </c>
      <c r="I73" s="6"/>
      <c r="J73" s="6"/>
      <c r="K73" s="6">
        <f t="shared" si="4"/>
        <v>2079117.305696303</v>
      </c>
      <c r="L73" s="6"/>
      <c r="M73" s="6"/>
    </row>
    <row r="74" spans="1:13" ht="12.75">
      <c r="A74" s="5" t="s">
        <v>35</v>
      </c>
      <c r="E74" s="6">
        <f t="shared" si="1"/>
        <v>2598896.632120379</v>
      </c>
      <c r="G74" s="6"/>
      <c r="H74" s="6">
        <f t="shared" si="3"/>
        <v>2079117.305696303</v>
      </c>
      <c r="I74" s="6"/>
      <c r="J74" s="6"/>
      <c r="K74" s="6">
        <f t="shared" si="4"/>
        <v>2339006.9689083407</v>
      </c>
      <c r="L74" s="6"/>
      <c r="M74" s="6"/>
    </row>
    <row r="75" spans="1:13" ht="12.75">
      <c r="A75" s="5" t="s">
        <v>36</v>
      </c>
      <c r="E75" s="6">
        <f t="shared" si="1"/>
        <v>2598896.632120379</v>
      </c>
      <c r="G75" s="6"/>
      <c r="H75" s="6">
        <f t="shared" si="3"/>
        <v>2079117.305696303</v>
      </c>
      <c r="I75" s="6"/>
      <c r="J75" s="6"/>
      <c r="K75" s="6">
        <f t="shared" si="4"/>
        <v>2339006.9689083407</v>
      </c>
      <c r="L75" s="6"/>
      <c r="M75" s="6"/>
    </row>
    <row r="76" spans="1:13" ht="12.75">
      <c r="A76" s="5" t="s">
        <v>37</v>
      </c>
      <c r="E76" s="6">
        <f t="shared" si="1"/>
        <v>2598896.632120379</v>
      </c>
      <c r="G76" s="6"/>
      <c r="H76" s="6">
        <f t="shared" si="3"/>
        <v>2079117.305696303</v>
      </c>
      <c r="I76" s="6"/>
      <c r="J76" s="6"/>
      <c r="K76" s="6">
        <f t="shared" si="4"/>
        <v>2339006.9689083407</v>
      </c>
      <c r="L76" s="6"/>
      <c r="M76" s="6"/>
    </row>
    <row r="77" spans="1:13" ht="12.75">
      <c r="A77" s="5" t="s">
        <v>38</v>
      </c>
      <c r="E77" s="6">
        <f t="shared" si="1"/>
        <v>2598896.632120379</v>
      </c>
      <c r="G77" s="6"/>
      <c r="H77" s="6">
        <f t="shared" si="3"/>
        <v>2598896.632120379</v>
      </c>
      <c r="I77" s="6"/>
      <c r="J77" s="6"/>
      <c r="K77" s="6">
        <f t="shared" si="4"/>
        <v>2339006.9689083407</v>
      </c>
      <c r="L77" s="6"/>
      <c r="M77" s="6"/>
    </row>
    <row r="78" spans="1:13" ht="12.75">
      <c r="A78" s="5" t="s">
        <v>39</v>
      </c>
      <c r="E78" s="6">
        <f t="shared" si="1"/>
        <v>2598896.632120379</v>
      </c>
      <c r="G78" s="6"/>
      <c r="H78" s="6">
        <f t="shared" si="3"/>
        <v>2598896.632120379</v>
      </c>
      <c r="I78" s="6"/>
      <c r="J78" s="6"/>
      <c r="K78" s="6">
        <f t="shared" si="4"/>
        <v>2339006.9689083407</v>
      </c>
      <c r="L78" s="6"/>
      <c r="M78" s="6"/>
    </row>
    <row r="79" spans="1:13" ht="12.75">
      <c r="A79" s="5" t="s">
        <v>40</v>
      </c>
      <c r="E79" s="6">
        <f t="shared" si="1"/>
        <v>2598896.632120379</v>
      </c>
      <c r="G79" s="6"/>
      <c r="H79" s="6">
        <f t="shared" si="3"/>
        <v>2598896.632120379</v>
      </c>
      <c r="I79" s="6"/>
      <c r="J79" s="6"/>
      <c r="K79" s="6">
        <f t="shared" si="4"/>
        <v>2598896.6321203783</v>
      </c>
      <c r="L79" s="6"/>
      <c r="M79" s="6"/>
    </row>
    <row r="80" spans="1:13" ht="12.75">
      <c r="A80" s="5" t="s">
        <v>41</v>
      </c>
      <c r="E80" s="6">
        <f t="shared" si="1"/>
        <v>2598896.632120379</v>
      </c>
      <c r="G80" s="6"/>
      <c r="H80" s="6">
        <f t="shared" si="3"/>
        <v>2598896.632120379</v>
      </c>
      <c r="I80" s="6"/>
      <c r="J80" s="6"/>
      <c r="K80" s="6">
        <f t="shared" si="4"/>
        <v>2598896.6321203783</v>
      </c>
      <c r="L80" s="6"/>
      <c r="M80" s="6"/>
    </row>
    <row r="81" spans="1:13" ht="12.75">
      <c r="A81" s="5" t="s">
        <v>42</v>
      </c>
      <c r="E81" s="6">
        <f t="shared" si="1"/>
        <v>2598896.632120379</v>
      </c>
      <c r="G81" s="6"/>
      <c r="H81" s="6">
        <f t="shared" si="3"/>
        <v>2598896.632120379</v>
      </c>
      <c r="I81" s="6"/>
      <c r="J81" s="6"/>
      <c r="K81" s="6">
        <f t="shared" si="4"/>
        <v>2598896.6321203783</v>
      </c>
      <c r="L81" s="6"/>
      <c r="M81" s="6"/>
    </row>
    <row r="82" spans="1:13" ht="12.75">
      <c r="A82" s="5" t="s">
        <v>43</v>
      </c>
      <c r="E82" s="6">
        <f t="shared" si="1"/>
        <v>2598896.632120379</v>
      </c>
      <c r="G82" s="6"/>
      <c r="H82" s="6">
        <f t="shared" si="3"/>
        <v>2598896.632120379</v>
      </c>
      <c r="I82" s="6"/>
      <c r="J82" s="6"/>
      <c r="K82" s="6">
        <f t="shared" si="4"/>
        <v>2598896.6321203783</v>
      </c>
      <c r="L82" s="6"/>
      <c r="M82" s="6"/>
    </row>
    <row r="85" ht="12.75">
      <c r="F85" s="6">
        <f>E82+'Project 4'!H82+'Project 3'!H82+'Project 1'!H82+'Project 5'!H82</f>
        <v>9304449.632120378</v>
      </c>
    </row>
    <row r="86" ht="12.75">
      <c r="F86" s="6">
        <f>9659303-F85</f>
        <v>354853.3678796217</v>
      </c>
    </row>
    <row r="87" ht="12.75">
      <c r="F87" s="6">
        <f>+'Project 4'!H82+'Project 3'!H82+'Project 1'!H82</f>
        <v>6307000</v>
      </c>
    </row>
  </sheetData>
  <mergeCells count="1">
    <mergeCell ref="A1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49">
      <selection activeCell="H17" sqref="H17"/>
    </sheetView>
  </sheetViews>
  <sheetFormatPr defaultColWidth="9.140625" defaultRowHeight="12.75"/>
  <cols>
    <col min="2" max="2" width="12.421875" style="0" customWidth="1"/>
    <col min="3" max="3" width="14.28125" style="0" customWidth="1"/>
    <col min="4" max="4" width="14.7109375" style="0" customWidth="1"/>
    <col min="5" max="6" width="12.00390625" style="0" customWidth="1"/>
    <col min="7" max="7" width="13.8515625" style="0" customWidth="1"/>
    <col min="8" max="8" width="11.140625" style="0" customWidth="1"/>
    <col min="9" max="9" width="11.00390625" style="0" customWidth="1"/>
    <col min="10" max="10" width="10.8515625" style="0" customWidth="1"/>
    <col min="11" max="11" width="10.140625" style="0" customWidth="1"/>
    <col min="12" max="12" width="13.00390625" style="0" customWidth="1"/>
    <col min="13" max="13" width="10.421875" style="0" customWidth="1"/>
  </cols>
  <sheetData>
    <row r="1" spans="1:13" ht="12.75" customHeight="1">
      <c r="A1" s="160" t="s">
        <v>189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46.5" customHeight="1">
      <c r="A3" s="4" t="s">
        <v>4</v>
      </c>
      <c r="B3" s="4" t="s">
        <v>5</v>
      </c>
      <c r="C3" s="4" t="s">
        <v>6</v>
      </c>
      <c r="D3" s="4" t="s">
        <v>7</v>
      </c>
      <c r="E3" s="12" t="s">
        <v>137</v>
      </c>
      <c r="F3" s="12" t="s">
        <v>139</v>
      </c>
      <c r="G3" s="12" t="s">
        <v>138</v>
      </c>
      <c r="H3" s="12" t="s">
        <v>141</v>
      </c>
      <c r="I3" s="12" t="s">
        <v>142</v>
      </c>
      <c r="J3" s="12" t="s">
        <v>147</v>
      </c>
      <c r="K3" s="12" t="s">
        <v>145</v>
      </c>
      <c r="L3" s="12" t="s">
        <v>146</v>
      </c>
      <c r="M3" s="12" t="s">
        <v>144</v>
      </c>
    </row>
    <row r="4" spans="1:13" ht="12.75">
      <c r="A4" s="5" t="s">
        <v>8</v>
      </c>
      <c r="B4" s="6"/>
      <c r="C4" s="6"/>
      <c r="D4" s="6"/>
      <c r="E4" s="6"/>
      <c r="F4" s="6"/>
      <c r="G4" s="45">
        <v>0</v>
      </c>
      <c r="H4" s="45"/>
      <c r="I4" s="45"/>
      <c r="J4" s="6">
        <v>0</v>
      </c>
      <c r="K4" s="6"/>
      <c r="L4" s="6"/>
      <c r="M4" s="45">
        <v>0</v>
      </c>
    </row>
    <row r="5" spans="1:13" ht="12.75">
      <c r="A5" s="5" t="s">
        <v>9</v>
      </c>
      <c r="B5" s="6"/>
      <c r="C5" s="6"/>
      <c r="D5" s="6"/>
      <c r="E5" s="6"/>
      <c r="F5" s="6"/>
      <c r="G5" s="45">
        <v>0</v>
      </c>
      <c r="H5" s="45"/>
      <c r="I5" s="45"/>
      <c r="J5" s="6">
        <v>0</v>
      </c>
      <c r="K5" s="6"/>
      <c r="L5" s="6"/>
      <c r="M5" s="45">
        <v>0</v>
      </c>
    </row>
    <row r="6" spans="1:13" ht="12.75">
      <c r="A6" s="5" t="s">
        <v>10</v>
      </c>
      <c r="B6" s="6"/>
      <c r="C6" s="6"/>
      <c r="D6" s="6"/>
      <c r="E6" s="6"/>
      <c r="F6" s="6"/>
      <c r="G6" s="45">
        <v>0</v>
      </c>
      <c r="H6" s="45"/>
      <c r="I6" s="45"/>
      <c r="J6" s="6">
        <v>0</v>
      </c>
      <c r="K6" s="6"/>
      <c r="L6" s="6"/>
      <c r="M6" s="45">
        <v>0</v>
      </c>
    </row>
    <row r="7" spans="1:13" ht="12.75">
      <c r="A7" s="5" t="s">
        <v>11</v>
      </c>
      <c r="B7" s="6"/>
      <c r="C7" s="6"/>
      <c r="D7" s="6"/>
      <c r="E7" s="6"/>
      <c r="F7" s="6"/>
      <c r="G7" s="26">
        <v>0</v>
      </c>
      <c r="H7" s="26"/>
      <c r="I7" s="26"/>
      <c r="J7" s="6">
        <v>0</v>
      </c>
      <c r="K7" s="6"/>
      <c r="L7" s="6"/>
      <c r="M7" s="45">
        <v>0</v>
      </c>
    </row>
    <row r="8" spans="1:13" ht="12.75">
      <c r="A8" s="5" t="s">
        <v>12</v>
      </c>
      <c r="B8" s="63"/>
      <c r="C8" s="61"/>
      <c r="D8" s="61"/>
      <c r="E8" s="61"/>
      <c r="F8" s="73"/>
      <c r="G8" s="26"/>
      <c r="H8" s="26"/>
      <c r="I8" s="104"/>
      <c r="J8" s="6"/>
      <c r="K8" s="6"/>
      <c r="L8" s="105"/>
      <c r="M8" s="45"/>
    </row>
    <row r="9" spans="1:13" ht="12.75">
      <c r="A9" s="5" t="s">
        <v>13</v>
      </c>
      <c r="B9" s="63"/>
      <c r="C9" s="61"/>
      <c r="D9" s="61"/>
      <c r="E9" s="61"/>
      <c r="F9" s="73"/>
      <c r="G9" s="26"/>
      <c r="H9" s="116"/>
      <c r="I9" s="104"/>
      <c r="J9" s="6"/>
      <c r="K9" s="6"/>
      <c r="L9" s="105"/>
      <c r="M9" s="45"/>
    </row>
    <row r="10" spans="1:13" ht="12.75">
      <c r="A10" s="5" t="s">
        <v>14</v>
      </c>
      <c r="B10" s="63"/>
      <c r="C10" s="61"/>
      <c r="D10" s="61"/>
      <c r="E10" s="61">
        <v>0</v>
      </c>
      <c r="F10" s="73"/>
      <c r="G10" s="26"/>
      <c r="H10" s="116"/>
      <c r="I10" s="104"/>
      <c r="J10" s="6"/>
      <c r="K10" s="6"/>
      <c r="L10" s="105"/>
      <c r="M10" s="45"/>
    </row>
    <row r="11" spans="1:13" ht="12.75">
      <c r="A11" s="5" t="s">
        <v>15</v>
      </c>
      <c r="B11" s="63"/>
      <c r="C11" s="61"/>
      <c r="D11" s="61"/>
      <c r="E11" s="61">
        <v>0</v>
      </c>
      <c r="F11" s="73"/>
      <c r="G11" s="26"/>
      <c r="H11" s="116">
        <f>E9*0.2</f>
        <v>0</v>
      </c>
      <c r="I11" s="104"/>
      <c r="J11" s="6"/>
      <c r="K11" s="6"/>
      <c r="L11" s="105"/>
      <c r="M11" s="45"/>
    </row>
    <row r="12" spans="1:13" ht="12.75">
      <c r="A12" s="5" t="s">
        <v>16</v>
      </c>
      <c r="B12" s="63"/>
      <c r="C12" s="61"/>
      <c r="D12" s="61"/>
      <c r="E12" s="61"/>
      <c r="F12" s="73"/>
      <c r="G12" s="26"/>
      <c r="H12" s="116"/>
      <c r="I12" s="104"/>
      <c r="J12" s="6"/>
      <c r="K12" s="6">
        <v>0</v>
      </c>
      <c r="L12" s="105"/>
      <c r="M12" s="45"/>
    </row>
    <row r="13" spans="1:13" ht="12.75">
      <c r="A13" s="5" t="s">
        <v>17</v>
      </c>
      <c r="B13" s="63"/>
      <c r="C13" s="61"/>
      <c r="D13" s="61"/>
      <c r="E13" s="61">
        <v>0</v>
      </c>
      <c r="F13" s="73"/>
      <c r="G13" s="26"/>
      <c r="H13" s="116">
        <f>E9*0.1</f>
        <v>0</v>
      </c>
      <c r="I13" s="104"/>
      <c r="J13" s="6"/>
      <c r="K13" s="6">
        <f>H11</f>
        <v>0</v>
      </c>
      <c r="L13" s="105"/>
      <c r="M13" s="45"/>
    </row>
    <row r="14" spans="1:13" ht="12.75">
      <c r="A14" s="5" t="s">
        <v>18</v>
      </c>
      <c r="B14" s="63"/>
      <c r="C14" s="61"/>
      <c r="D14" s="61"/>
      <c r="E14" s="61">
        <v>0</v>
      </c>
      <c r="F14" s="73"/>
      <c r="G14" s="26"/>
      <c r="H14" s="116"/>
      <c r="I14" s="104"/>
      <c r="J14" s="6"/>
      <c r="K14" s="6">
        <f aca="true" t="shared" si="0" ref="K14:K21">H12</f>
        <v>0</v>
      </c>
      <c r="L14" s="105"/>
      <c r="M14" s="45"/>
    </row>
    <row r="15" spans="1:13" ht="12.75">
      <c r="A15" s="5" t="s">
        <v>19</v>
      </c>
      <c r="B15" s="63"/>
      <c r="C15" s="61"/>
      <c r="D15" s="61"/>
      <c r="E15" s="61">
        <v>0</v>
      </c>
      <c r="F15" s="73"/>
      <c r="G15" s="26"/>
      <c r="H15" s="116">
        <f>$E$15*0.25</f>
        <v>0</v>
      </c>
      <c r="I15" s="104"/>
      <c r="J15" s="6"/>
      <c r="K15" s="6">
        <f t="shared" si="0"/>
        <v>0</v>
      </c>
      <c r="L15" s="105"/>
      <c r="M15" s="45"/>
    </row>
    <row r="16" spans="1:13" ht="12.75">
      <c r="A16" s="5" t="s">
        <v>20</v>
      </c>
      <c r="B16" s="63"/>
      <c r="C16" s="61"/>
      <c r="D16" s="61"/>
      <c r="E16" s="61">
        <v>0</v>
      </c>
      <c r="F16" s="73"/>
      <c r="G16" s="26"/>
      <c r="I16" s="104"/>
      <c r="J16" s="6"/>
      <c r="K16" s="6">
        <f t="shared" si="0"/>
        <v>0</v>
      </c>
      <c r="L16" s="105"/>
      <c r="M16" s="45"/>
    </row>
    <row r="17" spans="1:13" ht="12.75">
      <c r="A17" s="5" t="s">
        <v>21</v>
      </c>
      <c r="B17" s="63"/>
      <c r="C17" s="61"/>
      <c r="D17" s="61"/>
      <c r="E17" s="61">
        <v>0</v>
      </c>
      <c r="F17" s="73"/>
      <c r="G17" s="26"/>
      <c r="H17" s="116">
        <f>$E$15*0.2</f>
        <v>0</v>
      </c>
      <c r="I17" s="104"/>
      <c r="J17" s="6"/>
      <c r="K17" s="6">
        <f t="shared" si="0"/>
        <v>0</v>
      </c>
      <c r="L17" s="105"/>
      <c r="M17" s="45"/>
    </row>
    <row r="18" spans="1:13" ht="12.75">
      <c r="A18" s="5" t="s">
        <v>22</v>
      </c>
      <c r="B18" s="63"/>
      <c r="C18" s="61"/>
      <c r="D18" s="61"/>
      <c r="E18" s="61">
        <v>0</v>
      </c>
      <c r="F18" s="73"/>
      <c r="G18" s="26"/>
      <c r="H18" s="116">
        <f>$E$15*0.05</f>
        <v>0</v>
      </c>
      <c r="I18" s="104"/>
      <c r="J18" s="6"/>
      <c r="K18" s="6">
        <f t="shared" si="0"/>
        <v>0</v>
      </c>
      <c r="L18" s="105"/>
      <c r="M18" s="45"/>
    </row>
    <row r="19" spans="1:13" ht="12.75">
      <c r="A19" s="5" t="s">
        <v>23</v>
      </c>
      <c r="B19" s="63"/>
      <c r="C19" s="61"/>
      <c r="D19" s="61"/>
      <c r="E19" s="61">
        <v>0</v>
      </c>
      <c r="F19" s="73"/>
      <c r="G19" s="26"/>
      <c r="H19" s="116">
        <f>E12*0.1</f>
        <v>0</v>
      </c>
      <c r="I19" s="104"/>
      <c r="J19" s="6"/>
      <c r="K19" s="6">
        <f t="shared" si="0"/>
        <v>0</v>
      </c>
      <c r="L19" s="105"/>
      <c r="M19" s="45"/>
    </row>
    <row r="20" spans="1:13" ht="12.75">
      <c r="A20" s="5" t="s">
        <v>24</v>
      </c>
      <c r="B20" s="63"/>
      <c r="C20" s="61"/>
      <c r="D20" s="62"/>
      <c r="E20" s="61">
        <f>2474000-138202</f>
        <v>2335798</v>
      </c>
      <c r="F20" s="73"/>
      <c r="G20" s="26"/>
      <c r="H20" s="116">
        <f>E9*0.2</f>
        <v>0</v>
      </c>
      <c r="I20" s="104"/>
      <c r="J20" s="6"/>
      <c r="K20" s="6">
        <f t="shared" si="0"/>
        <v>0</v>
      </c>
      <c r="L20" s="105"/>
      <c r="M20" s="45"/>
    </row>
    <row r="21" spans="1:13" ht="12.75">
      <c r="A21" s="5" t="s">
        <v>25</v>
      </c>
      <c r="B21" s="63"/>
      <c r="C21" s="61"/>
      <c r="D21" s="61"/>
      <c r="E21" s="61">
        <v>0</v>
      </c>
      <c r="F21" s="73"/>
      <c r="G21" s="26"/>
      <c r="H21" s="116">
        <f>E20*0.2</f>
        <v>467159.60000000003</v>
      </c>
      <c r="I21" s="104"/>
      <c r="J21" s="6"/>
      <c r="K21" s="6">
        <f t="shared" si="0"/>
        <v>0</v>
      </c>
      <c r="L21" s="105"/>
      <c r="M21" s="45"/>
    </row>
    <row r="22" spans="1:13" ht="12.75">
      <c r="A22" s="5" t="s">
        <v>26</v>
      </c>
      <c r="B22" s="63"/>
      <c r="C22" s="61"/>
      <c r="D22" s="61"/>
      <c r="E22" s="61">
        <v>0</v>
      </c>
      <c r="F22" s="73"/>
      <c r="G22" s="26"/>
      <c r="H22" s="116">
        <f>E22*0.2</f>
        <v>0</v>
      </c>
      <c r="I22" s="104"/>
      <c r="J22" s="6"/>
      <c r="K22" s="6">
        <f>H20</f>
        <v>0</v>
      </c>
      <c r="L22" s="105"/>
      <c r="M22" s="45"/>
    </row>
    <row r="23" spans="1:13" ht="12.75">
      <c r="A23" s="5" t="s">
        <v>27</v>
      </c>
      <c r="B23" s="63"/>
      <c r="C23" s="61"/>
      <c r="D23" s="61"/>
      <c r="E23" s="61">
        <v>0</v>
      </c>
      <c r="F23" s="73"/>
      <c r="G23" s="26"/>
      <c r="H23" s="116">
        <f>E20*0.2</f>
        <v>467159.60000000003</v>
      </c>
      <c r="I23" s="104"/>
      <c r="J23" s="6"/>
      <c r="K23" s="6">
        <f aca="true" t="shared" si="1" ref="K23:K39">H21</f>
        <v>467159.60000000003</v>
      </c>
      <c r="L23" s="105"/>
      <c r="M23" s="6"/>
    </row>
    <row r="24" spans="1:13" ht="12.75">
      <c r="A24" s="5" t="s">
        <v>28</v>
      </c>
      <c r="B24" s="63"/>
      <c r="C24" s="61"/>
      <c r="D24" s="61"/>
      <c r="E24" s="61">
        <v>0</v>
      </c>
      <c r="F24" s="73"/>
      <c r="G24" s="26"/>
      <c r="H24" s="116">
        <f>E20*0.15+E22*0.2</f>
        <v>350369.7</v>
      </c>
      <c r="I24" s="104"/>
      <c r="J24" s="6"/>
      <c r="K24" s="6">
        <f t="shared" si="1"/>
        <v>0</v>
      </c>
      <c r="L24" s="105"/>
      <c r="M24" s="6"/>
    </row>
    <row r="25" spans="1:13" ht="12.75">
      <c r="A25" s="5" t="s">
        <v>29</v>
      </c>
      <c r="B25" s="63"/>
      <c r="C25" s="61"/>
      <c r="D25" s="61"/>
      <c r="E25" s="61">
        <v>0</v>
      </c>
      <c r="F25" s="73"/>
      <c r="G25" s="26"/>
      <c r="H25" s="116">
        <f>E20*0.15</f>
        <v>350369.7</v>
      </c>
      <c r="I25" s="104"/>
      <c r="J25" s="6"/>
      <c r="K25" s="6">
        <f t="shared" si="1"/>
        <v>467159.60000000003</v>
      </c>
      <c r="L25" s="105"/>
      <c r="M25" s="6"/>
    </row>
    <row r="26" spans="1:13" ht="12.75">
      <c r="A26" s="5" t="s">
        <v>30</v>
      </c>
      <c r="B26" s="63"/>
      <c r="C26" s="61"/>
      <c r="D26" s="61"/>
      <c r="E26" s="61">
        <v>0</v>
      </c>
      <c r="F26" s="73"/>
      <c r="G26" s="26"/>
      <c r="H26" s="116">
        <f>E20*0.1+E22*0.2</f>
        <v>233579.80000000002</v>
      </c>
      <c r="I26" s="104"/>
      <c r="J26" s="6"/>
      <c r="K26" s="6">
        <f t="shared" si="1"/>
        <v>350369.7</v>
      </c>
      <c r="L26" s="105"/>
      <c r="M26" s="6"/>
    </row>
    <row r="27" spans="1:13" ht="12.75">
      <c r="A27" s="5" t="s">
        <v>31</v>
      </c>
      <c r="B27" s="63"/>
      <c r="C27" s="61"/>
      <c r="D27" s="61"/>
      <c r="E27" s="61">
        <v>0</v>
      </c>
      <c r="F27" s="73"/>
      <c r="G27" s="26"/>
      <c r="H27" s="116">
        <f>E22*0.2</f>
        <v>0</v>
      </c>
      <c r="I27" s="104"/>
      <c r="J27" s="6"/>
      <c r="K27" s="6">
        <f t="shared" si="1"/>
        <v>350369.7</v>
      </c>
      <c r="L27" s="105"/>
      <c r="M27" s="6"/>
    </row>
    <row r="28" spans="1:13" ht="12.75">
      <c r="A28" s="5" t="s">
        <v>32</v>
      </c>
      <c r="B28" s="63"/>
      <c r="C28" s="61"/>
      <c r="D28" s="61"/>
      <c r="E28" s="61"/>
      <c r="F28" s="73"/>
      <c r="G28" s="26"/>
      <c r="H28" s="116">
        <f>E20*0.2</f>
        <v>467159.60000000003</v>
      </c>
      <c r="I28" s="104"/>
      <c r="J28" s="6"/>
      <c r="K28" s="6">
        <f>E20*0.15</f>
        <v>350369.7</v>
      </c>
      <c r="L28" s="105"/>
      <c r="M28" s="6"/>
    </row>
    <row r="29" spans="1:13" ht="12.75">
      <c r="A29" s="5" t="s">
        <v>33</v>
      </c>
      <c r="B29" s="61"/>
      <c r="C29" s="61"/>
      <c r="D29" s="62"/>
      <c r="E29" s="62"/>
      <c r="F29" s="73"/>
      <c r="G29" s="26"/>
      <c r="H29" s="116">
        <f>E28*0.2</f>
        <v>0</v>
      </c>
      <c r="I29" s="104"/>
      <c r="J29" s="6"/>
      <c r="K29" s="6">
        <f t="shared" si="1"/>
        <v>0</v>
      </c>
      <c r="L29" s="105"/>
      <c r="M29" s="6"/>
    </row>
    <row r="30" spans="1:13" ht="12.75">
      <c r="A30" s="5" t="s">
        <v>34</v>
      </c>
      <c r="B30" s="61"/>
      <c r="C30" s="61"/>
      <c r="D30" s="62"/>
      <c r="E30" s="62"/>
      <c r="F30" s="62"/>
      <c r="G30" s="6"/>
      <c r="H30" s="116"/>
      <c r="I30" s="104"/>
      <c r="J30" s="6"/>
      <c r="K30" s="6">
        <f>E20*0.15</f>
        <v>350369.7</v>
      </c>
      <c r="L30" s="105"/>
      <c r="M30" s="6"/>
    </row>
    <row r="31" spans="1:13" ht="12.75">
      <c r="A31" s="5" t="s">
        <v>35</v>
      </c>
      <c r="B31" s="61"/>
      <c r="C31" s="61"/>
      <c r="D31" s="62"/>
      <c r="E31" s="62"/>
      <c r="F31" s="62"/>
      <c r="G31" s="6"/>
      <c r="H31" s="116">
        <f>E28*0.2</f>
        <v>0</v>
      </c>
      <c r="I31" s="104"/>
      <c r="J31" s="6"/>
      <c r="K31" s="6">
        <f t="shared" si="1"/>
        <v>0</v>
      </c>
      <c r="L31" s="105"/>
      <c r="M31" s="6"/>
    </row>
    <row r="32" spans="1:13" ht="12.75">
      <c r="A32" s="5" t="s">
        <v>36</v>
      </c>
      <c r="B32" s="61"/>
      <c r="C32" s="61"/>
      <c r="D32" s="62"/>
      <c r="E32" s="62"/>
      <c r="F32" s="62"/>
      <c r="G32" s="6"/>
      <c r="H32" s="116"/>
      <c r="I32" s="104"/>
      <c r="J32" s="6"/>
      <c r="K32" s="6">
        <f t="shared" si="1"/>
        <v>0</v>
      </c>
      <c r="L32" s="105"/>
      <c r="M32" s="6"/>
    </row>
    <row r="33" spans="1:13" ht="12.75">
      <c r="A33" s="5" t="s">
        <v>37</v>
      </c>
      <c r="B33" s="57"/>
      <c r="C33" s="57"/>
      <c r="D33" s="58"/>
      <c r="E33" s="58"/>
      <c r="F33" s="58"/>
      <c r="G33" s="6"/>
      <c r="H33" s="116">
        <f>E28*0.2</f>
        <v>0</v>
      </c>
      <c r="I33" s="104"/>
      <c r="J33" s="6"/>
      <c r="K33" s="6">
        <f t="shared" si="1"/>
        <v>0</v>
      </c>
      <c r="L33" s="105"/>
      <c r="M33" s="6"/>
    </row>
    <row r="34" spans="1:13" ht="12.75">
      <c r="A34" s="5" t="s">
        <v>38</v>
      </c>
      <c r="B34" s="57"/>
      <c r="C34" s="57"/>
      <c r="D34" s="58"/>
      <c r="E34" s="58"/>
      <c r="F34" s="58"/>
      <c r="G34" s="6"/>
      <c r="H34" s="116"/>
      <c r="I34" s="104"/>
      <c r="J34" s="6"/>
      <c r="K34" s="6">
        <f t="shared" si="1"/>
        <v>0</v>
      </c>
      <c r="L34" s="105"/>
      <c r="M34" s="6"/>
    </row>
    <row r="35" spans="1:13" ht="12.75">
      <c r="A35" s="5" t="s">
        <v>39</v>
      </c>
      <c r="B35" s="57"/>
      <c r="C35" s="57"/>
      <c r="D35" s="58"/>
      <c r="E35" s="58"/>
      <c r="F35" s="58"/>
      <c r="G35" s="6"/>
      <c r="H35" s="116">
        <f>E28*0.2</f>
        <v>0</v>
      </c>
      <c r="I35" s="104"/>
      <c r="J35" s="6"/>
      <c r="K35" s="6">
        <f t="shared" si="1"/>
        <v>0</v>
      </c>
      <c r="L35" s="105"/>
      <c r="M35" s="6"/>
    </row>
    <row r="36" spans="1:13" ht="12.75">
      <c r="A36" s="5" t="s">
        <v>40</v>
      </c>
      <c r="B36" s="57"/>
      <c r="C36" s="58"/>
      <c r="D36" s="58"/>
      <c r="E36" s="115"/>
      <c r="F36" s="58"/>
      <c r="G36" s="6"/>
      <c r="I36" s="104"/>
      <c r="J36" s="6"/>
      <c r="K36" s="6">
        <f t="shared" si="1"/>
        <v>0</v>
      </c>
      <c r="L36" s="105"/>
      <c r="M36" s="6"/>
    </row>
    <row r="37" spans="1:13" ht="12.75">
      <c r="A37" s="5" t="s">
        <v>41</v>
      </c>
      <c r="B37" s="57"/>
      <c r="C37" s="58"/>
      <c r="D37" s="58"/>
      <c r="E37" s="58"/>
      <c r="F37" s="58"/>
      <c r="G37" s="6"/>
      <c r="H37" s="116">
        <f>E28*0.2</f>
        <v>0</v>
      </c>
      <c r="I37" s="104"/>
      <c r="J37" s="6"/>
      <c r="K37" s="6">
        <f t="shared" si="1"/>
        <v>0</v>
      </c>
      <c r="L37" s="105"/>
      <c r="M37" s="6"/>
    </row>
    <row r="38" spans="1:13" ht="12.75">
      <c r="A38" s="5" t="s">
        <v>42</v>
      </c>
      <c r="B38" s="57"/>
      <c r="C38" s="58"/>
      <c r="D38" s="58"/>
      <c r="E38" s="58"/>
      <c r="F38" s="58"/>
      <c r="G38" s="6"/>
      <c r="H38" s="26"/>
      <c r="I38" s="6"/>
      <c r="J38" s="6"/>
      <c r="K38" s="6">
        <f t="shared" si="1"/>
        <v>0</v>
      </c>
      <c r="L38" s="105"/>
      <c r="M38" s="6"/>
    </row>
    <row r="39" spans="1:13" ht="12.75">
      <c r="A39" s="5" t="s">
        <v>43</v>
      </c>
      <c r="B39" s="57"/>
      <c r="C39" s="58"/>
      <c r="D39" s="58"/>
      <c r="E39" s="58"/>
      <c r="F39" s="58"/>
      <c r="H39" s="6"/>
      <c r="J39" s="6"/>
      <c r="K39" s="6">
        <f t="shared" si="1"/>
        <v>0</v>
      </c>
      <c r="L39" s="105"/>
      <c r="M39" s="6"/>
    </row>
    <row r="40" spans="1:13" ht="12.75">
      <c r="A40" s="5"/>
      <c r="B40" s="6"/>
      <c r="G40" s="6"/>
      <c r="I40" s="6"/>
      <c r="J40" s="6"/>
      <c r="K40" s="6"/>
      <c r="L40" s="6"/>
      <c r="M40" s="6"/>
    </row>
    <row r="41" spans="8:13" ht="12.75">
      <c r="H41" s="6"/>
      <c r="J41" s="6"/>
      <c r="K41" s="6"/>
      <c r="L41" s="6"/>
      <c r="M41" s="6"/>
    </row>
    <row r="42" spans="11:13" ht="12.75">
      <c r="K42" s="6"/>
      <c r="L42" s="6"/>
      <c r="M42" s="6"/>
    </row>
    <row r="43" ht="12.75">
      <c r="M43" s="6"/>
    </row>
    <row r="44" ht="12.75">
      <c r="A44" t="s">
        <v>58</v>
      </c>
    </row>
    <row r="46" spans="1:13" ht="51">
      <c r="A46" s="4" t="s">
        <v>4</v>
      </c>
      <c r="B46" s="4" t="s">
        <v>5</v>
      </c>
      <c r="C46" s="4" t="s">
        <v>6</v>
      </c>
      <c r="D46" s="4" t="s">
        <v>7</v>
      </c>
      <c r="E46" s="12" t="s">
        <v>137</v>
      </c>
      <c r="F46" s="12" t="s">
        <v>139</v>
      </c>
      <c r="G46" s="12" t="s">
        <v>138</v>
      </c>
      <c r="H46" s="12" t="s">
        <v>141</v>
      </c>
      <c r="I46" s="12" t="s">
        <v>142</v>
      </c>
      <c r="J46" s="12" t="s">
        <v>147</v>
      </c>
      <c r="K46" s="12" t="s">
        <v>145</v>
      </c>
      <c r="L46" s="12" t="s">
        <v>146</v>
      </c>
      <c r="M46" s="12" t="s">
        <v>144</v>
      </c>
    </row>
    <row r="47" spans="1:13" ht="12.75">
      <c r="A47" s="5" t="s">
        <v>8</v>
      </c>
      <c r="B47">
        <v>0</v>
      </c>
      <c r="C47" s="6">
        <v>0</v>
      </c>
      <c r="D47" s="6">
        <v>0</v>
      </c>
      <c r="E47" s="6"/>
      <c r="F47" s="6"/>
      <c r="G47" s="6">
        <f>G4</f>
        <v>0</v>
      </c>
      <c r="H47" s="6"/>
      <c r="I47" s="6"/>
      <c r="J47" s="6">
        <f>J4</f>
        <v>0</v>
      </c>
      <c r="K47" s="6"/>
      <c r="L47" s="6"/>
      <c r="M47" s="6">
        <f>M4</f>
        <v>0</v>
      </c>
    </row>
    <row r="48" spans="1:13" ht="12.75">
      <c r="A48" s="5" t="s">
        <v>9</v>
      </c>
      <c r="B48">
        <v>0</v>
      </c>
      <c r="C48" s="6">
        <v>0</v>
      </c>
      <c r="D48" s="6">
        <v>0</v>
      </c>
      <c r="E48" s="6"/>
      <c r="F48" s="6"/>
      <c r="G48" s="6">
        <f>G47+G5</f>
        <v>0</v>
      </c>
      <c r="H48" s="6"/>
      <c r="I48" s="6"/>
      <c r="J48" s="6">
        <f>J47+J5</f>
        <v>0</v>
      </c>
      <c r="K48" s="6"/>
      <c r="L48" s="6"/>
      <c r="M48" s="6">
        <f>M47+M5</f>
        <v>0</v>
      </c>
    </row>
    <row r="49" spans="1:13" ht="12.75">
      <c r="A49" s="5" t="s">
        <v>10</v>
      </c>
      <c r="B49">
        <v>0</v>
      </c>
      <c r="C49" s="6">
        <v>0</v>
      </c>
      <c r="D49" s="6">
        <v>0</v>
      </c>
      <c r="E49" s="6"/>
      <c r="F49" s="6"/>
      <c r="G49" s="6">
        <f>G48+G6</f>
        <v>0</v>
      </c>
      <c r="H49" s="6"/>
      <c r="I49" s="6"/>
      <c r="J49" s="6">
        <f>J48+J6</f>
        <v>0</v>
      </c>
      <c r="K49" s="6"/>
      <c r="L49" s="6"/>
      <c r="M49" s="6">
        <f>M48+M6</f>
        <v>0</v>
      </c>
    </row>
    <row r="50" spans="1:13" ht="12.75">
      <c r="A50" s="5" t="s">
        <v>11</v>
      </c>
      <c r="B50" s="6"/>
      <c r="C50" s="6"/>
      <c r="D50" s="6"/>
      <c r="E50" s="6"/>
      <c r="F50" s="6"/>
      <c r="G50" s="6">
        <f>G49+G7</f>
        <v>0</v>
      </c>
      <c r="H50" s="6"/>
      <c r="I50" s="6"/>
      <c r="J50" s="6">
        <f>J49+J7</f>
        <v>0</v>
      </c>
      <c r="K50" s="6"/>
      <c r="L50" s="6"/>
      <c r="M50" s="6">
        <f>M49+M7</f>
        <v>0</v>
      </c>
    </row>
    <row r="51" spans="1:13" ht="12.75">
      <c r="A51" s="5" t="s">
        <v>12</v>
      </c>
      <c r="B51" s="6"/>
      <c r="C51" s="6"/>
      <c r="D51" s="6"/>
      <c r="E51" s="6">
        <f aca="true" t="shared" si="2" ref="E51:E82">E50+E8</f>
        <v>0</v>
      </c>
      <c r="F51" s="6"/>
      <c r="G51" s="6">
        <f>G50+G8</f>
        <v>0</v>
      </c>
      <c r="H51" s="6"/>
      <c r="I51" s="6"/>
      <c r="J51" s="6">
        <f>J50+J8</f>
        <v>0</v>
      </c>
      <c r="K51" s="6"/>
      <c r="L51" s="6"/>
      <c r="M51" s="6">
        <f>M50+M8</f>
        <v>0</v>
      </c>
    </row>
    <row r="52" spans="1:13" ht="12.75">
      <c r="A52" s="5" t="s">
        <v>13</v>
      </c>
      <c r="B52" s="6"/>
      <c r="C52" s="6"/>
      <c r="D52" s="6"/>
      <c r="E52" s="6">
        <f t="shared" si="2"/>
        <v>0</v>
      </c>
      <c r="F52" s="6"/>
      <c r="G52" s="6">
        <f>G51+G9</f>
        <v>0</v>
      </c>
      <c r="H52" s="6">
        <f>H51+H10</f>
        <v>0</v>
      </c>
      <c r="I52" s="6"/>
      <c r="J52" s="6">
        <f>J51+J9</f>
        <v>0</v>
      </c>
      <c r="K52" s="6"/>
      <c r="L52" s="6"/>
      <c r="M52" s="6">
        <f>M51+M9</f>
        <v>0</v>
      </c>
    </row>
    <row r="53" spans="1:13" ht="12.75">
      <c r="A53" s="5" t="s">
        <v>14</v>
      </c>
      <c r="B53" s="6"/>
      <c r="C53" s="6"/>
      <c r="D53" s="6"/>
      <c r="E53" s="6">
        <f t="shared" si="2"/>
        <v>0</v>
      </c>
      <c r="F53" s="6"/>
      <c r="G53" s="6"/>
      <c r="H53" s="6">
        <f aca="true" t="shared" si="3" ref="H53:H82">H52+H10</f>
        <v>0</v>
      </c>
      <c r="I53" s="6"/>
      <c r="J53" s="6"/>
      <c r="K53" s="6">
        <f aca="true" t="shared" si="4" ref="K53:K82">K52+K10</f>
        <v>0</v>
      </c>
      <c r="L53" s="6"/>
      <c r="M53" s="6"/>
    </row>
    <row r="54" spans="1:13" ht="12.75">
      <c r="A54" s="5" t="s">
        <v>15</v>
      </c>
      <c r="B54" s="6"/>
      <c r="C54" s="6"/>
      <c r="D54" s="6"/>
      <c r="E54" s="6">
        <f t="shared" si="2"/>
        <v>0</v>
      </c>
      <c r="F54" s="6"/>
      <c r="G54" s="6"/>
      <c r="H54" s="6">
        <f t="shared" si="3"/>
        <v>0</v>
      </c>
      <c r="I54" s="6"/>
      <c r="J54" s="6"/>
      <c r="K54" s="6">
        <f t="shared" si="4"/>
        <v>0</v>
      </c>
      <c r="L54" s="6"/>
      <c r="M54" s="6"/>
    </row>
    <row r="55" spans="1:13" ht="12.75">
      <c r="A55" s="5" t="s">
        <v>16</v>
      </c>
      <c r="B55" s="6"/>
      <c r="C55" s="6"/>
      <c r="D55" s="6"/>
      <c r="E55" s="6">
        <f t="shared" si="2"/>
        <v>0</v>
      </c>
      <c r="F55" s="6"/>
      <c r="G55" s="6"/>
      <c r="H55" s="6">
        <f t="shared" si="3"/>
        <v>0</v>
      </c>
      <c r="I55" s="6"/>
      <c r="J55" s="6"/>
      <c r="K55" s="6">
        <f t="shared" si="4"/>
        <v>0</v>
      </c>
      <c r="L55" s="6"/>
      <c r="M55" s="6"/>
    </row>
    <row r="56" spans="1:13" ht="12.75">
      <c r="A56" s="5" t="s">
        <v>17</v>
      </c>
      <c r="B56" s="6"/>
      <c r="C56" s="6"/>
      <c r="D56" s="6"/>
      <c r="E56" s="6">
        <f t="shared" si="2"/>
        <v>0</v>
      </c>
      <c r="F56" s="6"/>
      <c r="G56" s="6"/>
      <c r="H56" s="6">
        <f t="shared" si="3"/>
        <v>0</v>
      </c>
      <c r="I56" s="6"/>
      <c r="J56" s="6"/>
      <c r="K56" s="6">
        <f t="shared" si="4"/>
        <v>0</v>
      </c>
      <c r="L56" s="6"/>
      <c r="M56" s="6"/>
    </row>
    <row r="57" spans="1:13" ht="12.75">
      <c r="A57" s="5" t="s">
        <v>18</v>
      </c>
      <c r="B57" s="6"/>
      <c r="C57" s="6"/>
      <c r="D57" s="6"/>
      <c r="E57" s="6">
        <f t="shared" si="2"/>
        <v>0</v>
      </c>
      <c r="F57" s="6"/>
      <c r="G57" s="6"/>
      <c r="H57" s="6">
        <f t="shared" si="3"/>
        <v>0</v>
      </c>
      <c r="I57" s="6"/>
      <c r="J57" s="6"/>
      <c r="K57" s="6">
        <f t="shared" si="4"/>
        <v>0</v>
      </c>
      <c r="L57" s="6"/>
      <c r="M57" s="6"/>
    </row>
    <row r="58" spans="1:13" ht="12.75">
      <c r="A58" s="5" t="s">
        <v>19</v>
      </c>
      <c r="B58" s="6"/>
      <c r="C58" s="6"/>
      <c r="D58" s="6"/>
      <c r="E58" s="6">
        <f t="shared" si="2"/>
        <v>0</v>
      </c>
      <c r="F58" s="6"/>
      <c r="G58" s="6"/>
      <c r="H58" s="6">
        <f t="shared" si="3"/>
        <v>0</v>
      </c>
      <c r="I58" s="6"/>
      <c r="J58" s="6"/>
      <c r="K58" s="6">
        <f t="shared" si="4"/>
        <v>0</v>
      </c>
      <c r="L58" s="6"/>
      <c r="M58" s="6"/>
    </row>
    <row r="59" spans="1:13" ht="12.75">
      <c r="A59" s="5" t="s">
        <v>20</v>
      </c>
      <c r="B59" s="6"/>
      <c r="C59" s="6"/>
      <c r="D59" s="6"/>
      <c r="E59" s="6">
        <f t="shared" si="2"/>
        <v>0</v>
      </c>
      <c r="F59" s="6"/>
      <c r="G59" s="6"/>
      <c r="H59" s="6">
        <f t="shared" si="3"/>
        <v>0</v>
      </c>
      <c r="I59" s="6"/>
      <c r="J59" s="6"/>
      <c r="K59" s="6">
        <f t="shared" si="4"/>
        <v>0</v>
      </c>
      <c r="L59" s="6"/>
      <c r="M59" s="6"/>
    </row>
    <row r="60" spans="1:13" ht="12.75">
      <c r="A60" s="5" t="s">
        <v>21</v>
      </c>
      <c r="B60" s="6"/>
      <c r="C60" s="6"/>
      <c r="D60" s="6"/>
      <c r="E60" s="6">
        <f t="shared" si="2"/>
        <v>0</v>
      </c>
      <c r="F60" s="6"/>
      <c r="G60" s="6"/>
      <c r="H60" s="6">
        <f t="shared" si="3"/>
        <v>0</v>
      </c>
      <c r="I60" s="6"/>
      <c r="J60" s="6"/>
      <c r="K60" s="6">
        <f t="shared" si="4"/>
        <v>0</v>
      </c>
      <c r="L60" s="6"/>
      <c r="M60" s="6"/>
    </row>
    <row r="61" spans="1:13" ht="12.75">
      <c r="A61" s="5" t="s">
        <v>22</v>
      </c>
      <c r="B61" s="6"/>
      <c r="C61" s="6"/>
      <c r="D61" s="6"/>
      <c r="E61" s="6">
        <f t="shared" si="2"/>
        <v>0</v>
      </c>
      <c r="F61" s="6"/>
      <c r="G61" s="6"/>
      <c r="H61" s="6">
        <f t="shared" si="3"/>
        <v>0</v>
      </c>
      <c r="I61" s="6"/>
      <c r="J61" s="6"/>
      <c r="K61" s="6">
        <f t="shared" si="4"/>
        <v>0</v>
      </c>
      <c r="L61" s="6"/>
      <c r="M61" s="6"/>
    </row>
    <row r="62" spans="1:13" ht="12.75">
      <c r="A62" s="5" t="s">
        <v>23</v>
      </c>
      <c r="B62" s="6"/>
      <c r="C62" s="6"/>
      <c r="D62" s="6"/>
      <c r="E62" s="6">
        <f t="shared" si="2"/>
        <v>0</v>
      </c>
      <c r="F62" s="6"/>
      <c r="G62" s="6"/>
      <c r="H62" s="6">
        <f t="shared" si="3"/>
        <v>0</v>
      </c>
      <c r="I62" s="6"/>
      <c r="J62" s="6"/>
      <c r="K62" s="6">
        <f t="shared" si="4"/>
        <v>0</v>
      </c>
      <c r="L62" s="6"/>
      <c r="M62" s="6"/>
    </row>
    <row r="63" spans="1:13" ht="12.75">
      <c r="A63" s="5" t="s">
        <v>24</v>
      </c>
      <c r="B63" s="6"/>
      <c r="C63" s="6"/>
      <c r="D63" s="6"/>
      <c r="E63" s="6">
        <f t="shared" si="2"/>
        <v>2335798</v>
      </c>
      <c r="F63" s="6"/>
      <c r="G63" s="6"/>
      <c r="H63" s="6">
        <f t="shared" si="3"/>
        <v>0</v>
      </c>
      <c r="I63" s="6"/>
      <c r="J63" s="6"/>
      <c r="K63" s="6">
        <f t="shared" si="4"/>
        <v>0</v>
      </c>
      <c r="L63" s="6"/>
      <c r="M63" s="6"/>
    </row>
    <row r="64" spans="1:13" ht="12.75">
      <c r="A64" s="5" t="s">
        <v>25</v>
      </c>
      <c r="B64" s="6"/>
      <c r="C64" s="6"/>
      <c r="D64" s="6"/>
      <c r="E64" s="6">
        <f t="shared" si="2"/>
        <v>2335798</v>
      </c>
      <c r="F64" s="6"/>
      <c r="G64" s="6"/>
      <c r="H64" s="6">
        <f t="shared" si="3"/>
        <v>467159.60000000003</v>
      </c>
      <c r="I64" s="6"/>
      <c r="J64" s="6"/>
      <c r="K64" s="6">
        <f t="shared" si="4"/>
        <v>0</v>
      </c>
      <c r="L64" s="6"/>
      <c r="M64" s="6"/>
    </row>
    <row r="65" spans="1:13" ht="12.75">
      <c r="A65" s="5" t="s">
        <v>26</v>
      </c>
      <c r="B65" s="6"/>
      <c r="C65" s="6"/>
      <c r="D65" s="6"/>
      <c r="E65" s="6">
        <f t="shared" si="2"/>
        <v>2335798</v>
      </c>
      <c r="F65" s="6"/>
      <c r="G65" s="6"/>
      <c r="H65" s="6">
        <f t="shared" si="3"/>
        <v>467159.60000000003</v>
      </c>
      <c r="I65" s="6"/>
      <c r="J65" s="6"/>
      <c r="K65" s="6">
        <f t="shared" si="4"/>
        <v>0</v>
      </c>
      <c r="L65" s="6"/>
      <c r="M65" s="6"/>
    </row>
    <row r="66" spans="1:13" ht="12.75">
      <c r="A66" s="5" t="s">
        <v>27</v>
      </c>
      <c r="B66" s="6"/>
      <c r="C66" s="6"/>
      <c r="D66" s="6"/>
      <c r="E66" s="6">
        <f t="shared" si="2"/>
        <v>2335798</v>
      </c>
      <c r="F66" s="6"/>
      <c r="G66" s="6"/>
      <c r="H66" s="6">
        <f t="shared" si="3"/>
        <v>934319.2000000001</v>
      </c>
      <c r="I66" s="6"/>
      <c r="J66" s="6"/>
      <c r="K66" s="6">
        <f t="shared" si="4"/>
        <v>467159.60000000003</v>
      </c>
      <c r="L66" s="6"/>
      <c r="M66" s="6"/>
    </row>
    <row r="67" spans="1:13" ht="12.75">
      <c r="A67" s="5" t="s">
        <v>28</v>
      </c>
      <c r="E67" s="6">
        <f t="shared" si="2"/>
        <v>2335798</v>
      </c>
      <c r="G67" s="6"/>
      <c r="H67" s="6">
        <f t="shared" si="3"/>
        <v>1284688.9000000001</v>
      </c>
      <c r="I67" s="6"/>
      <c r="J67" s="6"/>
      <c r="K67" s="6">
        <f t="shared" si="4"/>
        <v>467159.60000000003</v>
      </c>
      <c r="L67" s="6"/>
      <c r="M67" s="6"/>
    </row>
    <row r="68" spans="1:13" ht="12.75">
      <c r="A68" s="5" t="s">
        <v>29</v>
      </c>
      <c r="E68" s="6">
        <f t="shared" si="2"/>
        <v>2335798</v>
      </c>
      <c r="G68" s="6"/>
      <c r="H68" s="6">
        <f t="shared" si="3"/>
        <v>1635058.6</v>
      </c>
      <c r="I68" s="6"/>
      <c r="J68" s="6"/>
      <c r="K68" s="6">
        <f t="shared" si="4"/>
        <v>934319.2000000001</v>
      </c>
      <c r="L68" s="6"/>
      <c r="M68" s="6"/>
    </row>
    <row r="69" spans="1:13" ht="12.75">
      <c r="A69" s="5" t="s">
        <v>30</v>
      </c>
      <c r="E69" s="6">
        <f t="shared" si="2"/>
        <v>2335798</v>
      </c>
      <c r="G69" s="6"/>
      <c r="H69" s="6">
        <f t="shared" si="3"/>
        <v>1868638.4000000001</v>
      </c>
      <c r="I69" s="6"/>
      <c r="J69" s="6"/>
      <c r="K69" s="6">
        <f t="shared" si="4"/>
        <v>1284688.9000000001</v>
      </c>
      <c r="L69" s="6"/>
      <c r="M69" s="6"/>
    </row>
    <row r="70" spans="1:13" ht="12.75">
      <c r="A70" s="5" t="s">
        <v>31</v>
      </c>
      <c r="E70" s="6">
        <f t="shared" si="2"/>
        <v>2335798</v>
      </c>
      <c r="G70" s="6"/>
      <c r="H70" s="6">
        <f t="shared" si="3"/>
        <v>1868638.4000000001</v>
      </c>
      <c r="I70" s="6"/>
      <c r="J70" s="6"/>
      <c r="K70" s="6">
        <f t="shared" si="4"/>
        <v>1635058.6</v>
      </c>
      <c r="L70" s="6"/>
      <c r="M70" s="6"/>
    </row>
    <row r="71" spans="1:13" ht="12.75">
      <c r="A71" s="5" t="s">
        <v>32</v>
      </c>
      <c r="E71" s="6">
        <f t="shared" si="2"/>
        <v>2335798</v>
      </c>
      <c r="G71" s="6"/>
      <c r="H71" s="6">
        <f t="shared" si="3"/>
        <v>2335798</v>
      </c>
      <c r="I71" s="6"/>
      <c r="J71" s="6"/>
      <c r="K71" s="6">
        <f t="shared" si="4"/>
        <v>1985428.3</v>
      </c>
      <c r="L71" s="6"/>
      <c r="M71" s="6"/>
    </row>
    <row r="72" spans="1:13" ht="12.75">
      <c r="A72" s="5" t="s">
        <v>33</v>
      </c>
      <c r="E72" s="6">
        <f t="shared" si="2"/>
        <v>2335798</v>
      </c>
      <c r="G72" s="6"/>
      <c r="H72" s="6">
        <f t="shared" si="3"/>
        <v>2335798</v>
      </c>
      <c r="I72" s="6"/>
      <c r="J72" s="6"/>
      <c r="K72" s="6">
        <f t="shared" si="4"/>
        <v>1985428.3</v>
      </c>
      <c r="L72" s="6"/>
      <c r="M72" s="6"/>
    </row>
    <row r="73" spans="1:13" ht="12.75">
      <c r="A73" s="5" t="s">
        <v>34</v>
      </c>
      <c r="E73" s="6">
        <f t="shared" si="2"/>
        <v>2335798</v>
      </c>
      <c r="G73" s="6"/>
      <c r="H73" s="6">
        <f t="shared" si="3"/>
        <v>2335798</v>
      </c>
      <c r="I73" s="6"/>
      <c r="J73" s="6"/>
      <c r="K73" s="6">
        <f t="shared" si="4"/>
        <v>2335798</v>
      </c>
      <c r="L73" s="6"/>
      <c r="M73" s="6"/>
    </row>
    <row r="74" spans="1:13" ht="12.75">
      <c r="A74" s="5" t="s">
        <v>35</v>
      </c>
      <c r="E74" s="6">
        <f t="shared" si="2"/>
        <v>2335798</v>
      </c>
      <c r="G74" s="6"/>
      <c r="H74" s="6">
        <f t="shared" si="3"/>
        <v>2335798</v>
      </c>
      <c r="I74" s="6"/>
      <c r="J74" s="6"/>
      <c r="K74" s="6">
        <f t="shared" si="4"/>
        <v>2335798</v>
      </c>
      <c r="L74" s="6"/>
      <c r="M74" s="6"/>
    </row>
    <row r="75" spans="1:13" ht="12.75">
      <c r="A75" s="5" t="s">
        <v>36</v>
      </c>
      <c r="E75" s="6">
        <f t="shared" si="2"/>
        <v>2335798</v>
      </c>
      <c r="G75" s="6"/>
      <c r="H75" s="6">
        <f t="shared" si="3"/>
        <v>2335798</v>
      </c>
      <c r="I75" s="6"/>
      <c r="J75" s="6"/>
      <c r="K75" s="6">
        <f t="shared" si="4"/>
        <v>2335798</v>
      </c>
      <c r="L75" s="6"/>
      <c r="M75" s="6"/>
    </row>
    <row r="76" spans="1:13" ht="12.75">
      <c r="A76" s="5" t="s">
        <v>37</v>
      </c>
      <c r="E76" s="6">
        <f t="shared" si="2"/>
        <v>2335798</v>
      </c>
      <c r="G76" s="6"/>
      <c r="H76" s="6">
        <f t="shared" si="3"/>
        <v>2335798</v>
      </c>
      <c r="I76" s="6"/>
      <c r="J76" s="6"/>
      <c r="K76" s="6">
        <f t="shared" si="4"/>
        <v>2335798</v>
      </c>
      <c r="L76" s="6"/>
      <c r="M76" s="6"/>
    </row>
    <row r="77" spans="1:13" ht="12.75">
      <c r="A77" s="5" t="s">
        <v>38</v>
      </c>
      <c r="E77" s="6">
        <f t="shared" si="2"/>
        <v>2335798</v>
      </c>
      <c r="G77" s="6"/>
      <c r="H77" s="6">
        <f t="shared" si="3"/>
        <v>2335798</v>
      </c>
      <c r="I77" s="6"/>
      <c r="J77" s="6"/>
      <c r="K77" s="6">
        <f t="shared" si="4"/>
        <v>2335798</v>
      </c>
      <c r="L77" s="6"/>
      <c r="M77" s="6"/>
    </row>
    <row r="78" spans="1:13" ht="12.75">
      <c r="A78" s="5" t="s">
        <v>39</v>
      </c>
      <c r="E78" s="6">
        <f t="shared" si="2"/>
        <v>2335798</v>
      </c>
      <c r="G78" s="6"/>
      <c r="H78" s="6">
        <f t="shared" si="3"/>
        <v>2335798</v>
      </c>
      <c r="I78" s="6"/>
      <c r="J78" s="6"/>
      <c r="K78" s="6">
        <f t="shared" si="4"/>
        <v>2335798</v>
      </c>
      <c r="L78" s="6"/>
      <c r="M78" s="6"/>
    </row>
    <row r="79" spans="1:13" ht="12.75">
      <c r="A79" s="5" t="s">
        <v>40</v>
      </c>
      <c r="E79" s="6">
        <f t="shared" si="2"/>
        <v>2335798</v>
      </c>
      <c r="G79" s="6"/>
      <c r="H79" s="6">
        <f t="shared" si="3"/>
        <v>2335798</v>
      </c>
      <c r="I79" s="6"/>
      <c r="J79" s="6"/>
      <c r="K79" s="6">
        <f t="shared" si="4"/>
        <v>2335798</v>
      </c>
      <c r="L79" s="6"/>
      <c r="M79" s="6"/>
    </row>
    <row r="80" spans="1:13" ht="12.75">
      <c r="A80" s="5" t="s">
        <v>41</v>
      </c>
      <c r="E80" s="6">
        <f t="shared" si="2"/>
        <v>2335798</v>
      </c>
      <c r="G80" s="6"/>
      <c r="H80" s="6">
        <f t="shared" si="3"/>
        <v>2335798</v>
      </c>
      <c r="I80" s="6"/>
      <c r="J80" s="6"/>
      <c r="K80" s="6">
        <f t="shared" si="4"/>
        <v>2335798</v>
      </c>
      <c r="L80" s="6"/>
      <c r="M80" s="6"/>
    </row>
    <row r="81" spans="1:13" ht="12.75">
      <c r="A81" s="5" t="s">
        <v>42</v>
      </c>
      <c r="E81" s="6">
        <f t="shared" si="2"/>
        <v>2335798</v>
      </c>
      <c r="G81" s="6"/>
      <c r="H81" s="6">
        <f t="shared" si="3"/>
        <v>2335798</v>
      </c>
      <c r="I81" s="6"/>
      <c r="J81" s="6"/>
      <c r="K81" s="6">
        <f t="shared" si="4"/>
        <v>2335798</v>
      </c>
      <c r="L81" s="6"/>
      <c r="M81" s="6"/>
    </row>
    <row r="82" spans="1:13" ht="12.75">
      <c r="A82" s="5" t="s">
        <v>43</v>
      </c>
      <c r="E82" s="6">
        <f t="shared" si="2"/>
        <v>2335798</v>
      </c>
      <c r="G82" s="6"/>
      <c r="H82" s="6">
        <f t="shared" si="3"/>
        <v>2335798</v>
      </c>
      <c r="I82" s="6"/>
      <c r="J82" s="6"/>
      <c r="K82" s="6">
        <f t="shared" si="4"/>
        <v>2335798</v>
      </c>
      <c r="L82" s="6"/>
      <c r="M82" s="6"/>
    </row>
  </sheetData>
  <mergeCells count="2">
    <mergeCell ref="A1:K2"/>
    <mergeCell ref="L1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C55">
      <selection activeCell="H17" sqref="H17"/>
    </sheetView>
  </sheetViews>
  <sheetFormatPr defaultColWidth="9.140625" defaultRowHeight="12.75"/>
  <cols>
    <col min="2" max="2" width="13.140625" style="0" customWidth="1"/>
    <col min="3" max="3" width="14.140625" style="0" customWidth="1"/>
    <col min="4" max="4" width="15.57421875" style="0" customWidth="1"/>
    <col min="5" max="6" width="12.7109375" style="0" customWidth="1"/>
    <col min="7" max="7" width="15.7109375" style="0" customWidth="1"/>
    <col min="8" max="8" width="13.57421875" style="0" customWidth="1"/>
    <col min="9" max="9" width="12.421875" style="0" customWidth="1"/>
    <col min="10" max="10" width="11.00390625" style="0" customWidth="1"/>
    <col min="11" max="11" width="12.00390625" style="0" customWidth="1"/>
    <col min="12" max="12" width="11.57421875" style="0" customWidth="1"/>
    <col min="13" max="13" width="13.57421875" style="0" customWidth="1"/>
  </cols>
  <sheetData>
    <row r="1" spans="1:13" ht="12.75">
      <c r="A1" s="160" t="s">
        <v>189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51">
      <c r="A3" s="4" t="s">
        <v>4</v>
      </c>
      <c r="B3" s="4" t="s">
        <v>5</v>
      </c>
      <c r="C3" s="4" t="s">
        <v>6</v>
      </c>
      <c r="D3" s="4" t="s">
        <v>7</v>
      </c>
      <c r="E3" s="12" t="s">
        <v>137</v>
      </c>
      <c r="F3" s="12" t="s">
        <v>139</v>
      </c>
      <c r="G3" s="12" t="s">
        <v>138</v>
      </c>
      <c r="H3" s="12" t="s">
        <v>141</v>
      </c>
      <c r="I3" s="12" t="s">
        <v>142</v>
      </c>
      <c r="J3" s="12" t="s">
        <v>147</v>
      </c>
      <c r="K3" s="12" t="s">
        <v>145</v>
      </c>
      <c r="L3" s="12" t="s">
        <v>146</v>
      </c>
      <c r="M3" s="12" t="s">
        <v>144</v>
      </c>
    </row>
    <row r="4" spans="1:13" ht="12.75">
      <c r="A4" s="5" t="s">
        <v>8</v>
      </c>
      <c r="B4" s="6"/>
      <c r="C4" s="6"/>
      <c r="D4" s="6"/>
      <c r="E4" s="6"/>
      <c r="F4" s="6"/>
      <c r="G4" s="45">
        <v>0</v>
      </c>
      <c r="H4" s="45"/>
      <c r="I4" s="45"/>
      <c r="J4" s="6">
        <v>0</v>
      </c>
      <c r="K4" s="6"/>
      <c r="L4" s="6"/>
      <c r="M4" s="45">
        <v>0</v>
      </c>
    </row>
    <row r="5" spans="1:13" ht="12.75">
      <c r="A5" s="5" t="s">
        <v>9</v>
      </c>
      <c r="B5" s="6"/>
      <c r="C5" s="6"/>
      <c r="D5" s="6"/>
      <c r="E5" s="6"/>
      <c r="F5" s="6"/>
      <c r="G5" s="45">
        <v>0</v>
      </c>
      <c r="H5" s="45"/>
      <c r="I5" s="45"/>
      <c r="J5" s="6">
        <v>0</v>
      </c>
      <c r="K5" s="6"/>
      <c r="L5" s="6"/>
      <c r="M5" s="45">
        <v>0</v>
      </c>
    </row>
    <row r="6" spans="1:13" ht="12.75">
      <c r="A6" s="5" t="s">
        <v>10</v>
      </c>
      <c r="B6" s="6"/>
      <c r="C6" s="6"/>
      <c r="D6" s="6"/>
      <c r="E6" s="6"/>
      <c r="F6" s="6"/>
      <c r="G6" s="45">
        <v>0</v>
      </c>
      <c r="H6" s="45"/>
      <c r="I6" s="45"/>
      <c r="J6" s="6">
        <v>0</v>
      </c>
      <c r="K6" s="6"/>
      <c r="L6" s="6"/>
      <c r="M6" s="45">
        <v>0</v>
      </c>
    </row>
    <row r="7" spans="1:13" ht="12.75">
      <c r="A7" s="5" t="s">
        <v>11</v>
      </c>
      <c r="B7" s="6"/>
      <c r="C7" s="6"/>
      <c r="D7" s="6"/>
      <c r="E7" s="6"/>
      <c r="F7" s="6"/>
      <c r="G7" s="26">
        <v>0</v>
      </c>
      <c r="H7" s="26"/>
      <c r="I7" s="26"/>
      <c r="J7" s="6">
        <v>0</v>
      </c>
      <c r="K7" s="6"/>
      <c r="L7" s="6"/>
      <c r="M7" s="45">
        <v>0</v>
      </c>
    </row>
    <row r="8" spans="1:13" ht="12.75">
      <c r="A8" s="5" t="s">
        <v>12</v>
      </c>
      <c r="B8" s="63"/>
      <c r="C8" s="61"/>
      <c r="D8" s="61"/>
      <c r="E8" s="61"/>
      <c r="F8" s="73"/>
      <c r="G8" s="26"/>
      <c r="H8" s="26"/>
      <c r="I8" s="104"/>
      <c r="J8" s="6"/>
      <c r="K8" s="6"/>
      <c r="L8" s="105"/>
      <c r="M8" s="45"/>
    </row>
    <row r="9" spans="1:13" ht="12.75">
      <c r="A9" s="5" t="s">
        <v>13</v>
      </c>
      <c r="B9" s="63"/>
      <c r="C9" s="61"/>
      <c r="D9" s="61"/>
      <c r="E9" s="61"/>
      <c r="F9" s="73"/>
      <c r="G9" s="26"/>
      <c r="H9" s="116"/>
      <c r="I9" s="104"/>
      <c r="J9" s="6"/>
      <c r="K9" s="6"/>
      <c r="L9" s="105"/>
      <c r="M9" s="45"/>
    </row>
    <row r="10" spans="1:13" ht="12.75">
      <c r="A10" s="5" t="s">
        <v>14</v>
      </c>
      <c r="B10" s="63"/>
      <c r="C10" s="61"/>
      <c r="D10" s="61"/>
      <c r="E10" s="61">
        <v>0</v>
      </c>
      <c r="F10" s="73"/>
      <c r="G10" s="26"/>
      <c r="H10" s="116"/>
      <c r="I10" s="104"/>
      <c r="J10" s="6"/>
      <c r="K10" s="6"/>
      <c r="L10" s="105"/>
      <c r="M10" s="45"/>
    </row>
    <row r="11" spans="1:13" ht="12.75">
      <c r="A11" s="5" t="s">
        <v>15</v>
      </c>
      <c r="B11" s="63"/>
      <c r="C11" s="61"/>
      <c r="D11" s="61"/>
      <c r="E11" s="61">
        <v>0</v>
      </c>
      <c r="F11" s="73"/>
      <c r="G11" s="26"/>
      <c r="H11" s="116">
        <f>E9*0.2</f>
        <v>0</v>
      </c>
      <c r="I11" s="104"/>
      <c r="J11" s="6"/>
      <c r="K11" s="6"/>
      <c r="L11" s="105"/>
      <c r="M11" s="45"/>
    </row>
    <row r="12" spans="1:13" ht="12.75">
      <c r="A12" s="5" t="s">
        <v>16</v>
      </c>
      <c r="B12" s="63"/>
      <c r="C12" s="61"/>
      <c r="D12" s="61"/>
      <c r="E12" s="61"/>
      <c r="F12" s="73"/>
      <c r="G12" s="26"/>
      <c r="H12" s="116"/>
      <c r="I12" s="104"/>
      <c r="J12" s="6"/>
      <c r="K12" s="6">
        <v>0</v>
      </c>
      <c r="L12" s="105"/>
      <c r="M12" s="45"/>
    </row>
    <row r="13" spans="1:13" ht="12.75">
      <c r="A13" s="5" t="s">
        <v>17</v>
      </c>
      <c r="B13" s="63"/>
      <c r="C13" s="61"/>
      <c r="D13" s="61"/>
      <c r="E13" s="61">
        <v>0</v>
      </c>
      <c r="F13" s="73"/>
      <c r="G13" s="26"/>
      <c r="H13" s="116">
        <f>E9*0.1</f>
        <v>0</v>
      </c>
      <c r="I13" s="104"/>
      <c r="J13" s="6"/>
      <c r="K13" s="6">
        <f>H11</f>
        <v>0</v>
      </c>
      <c r="L13" s="105"/>
      <c r="M13" s="45"/>
    </row>
    <row r="14" spans="1:13" ht="12.75">
      <c r="A14" s="5" t="s">
        <v>18</v>
      </c>
      <c r="B14" s="63"/>
      <c r="C14" s="61"/>
      <c r="D14" s="61"/>
      <c r="E14" s="61">
        <v>0</v>
      </c>
      <c r="F14" s="73"/>
      <c r="G14" s="26"/>
      <c r="H14" s="116"/>
      <c r="I14" s="104"/>
      <c r="J14" s="6"/>
      <c r="K14" s="6">
        <f aca="true" t="shared" si="0" ref="K14:K21">H12</f>
        <v>0</v>
      </c>
      <c r="L14" s="105"/>
      <c r="M14" s="45"/>
    </row>
    <row r="15" spans="1:13" ht="12.75">
      <c r="A15" s="5" t="s">
        <v>19</v>
      </c>
      <c r="B15" s="63"/>
      <c r="C15" s="61"/>
      <c r="D15" s="61"/>
      <c r="E15" s="61">
        <v>0</v>
      </c>
      <c r="F15" s="73"/>
      <c r="G15" s="26"/>
      <c r="H15" s="116">
        <f>$E$15*0.25</f>
        <v>0</v>
      </c>
      <c r="I15" s="104"/>
      <c r="J15" s="6"/>
      <c r="K15" s="6">
        <f t="shared" si="0"/>
        <v>0</v>
      </c>
      <c r="L15" s="105"/>
      <c r="M15" s="45"/>
    </row>
    <row r="16" spans="1:13" ht="12.75">
      <c r="A16" s="5" t="s">
        <v>20</v>
      </c>
      <c r="B16" s="63"/>
      <c r="C16" s="61"/>
      <c r="D16" s="61"/>
      <c r="E16" s="61">
        <v>0</v>
      </c>
      <c r="F16" s="73"/>
      <c r="G16" s="26"/>
      <c r="I16" s="104"/>
      <c r="J16" s="6"/>
      <c r="K16" s="6">
        <f t="shared" si="0"/>
        <v>0</v>
      </c>
      <c r="L16" s="105"/>
      <c r="M16" s="45"/>
    </row>
    <row r="17" spans="1:13" ht="12.75">
      <c r="A17" s="5" t="s">
        <v>21</v>
      </c>
      <c r="B17" s="63"/>
      <c r="C17" s="61"/>
      <c r="D17" s="61"/>
      <c r="E17" s="61">
        <v>0</v>
      </c>
      <c r="F17" s="73"/>
      <c r="G17" s="26"/>
      <c r="H17" s="116">
        <f>$E$15*0.2</f>
        <v>0</v>
      </c>
      <c r="I17" s="104"/>
      <c r="J17" s="6"/>
      <c r="K17" s="6">
        <f t="shared" si="0"/>
        <v>0</v>
      </c>
      <c r="L17" s="105"/>
      <c r="M17" s="45"/>
    </row>
    <row r="18" spans="1:13" ht="12.75">
      <c r="A18" s="5" t="s">
        <v>22</v>
      </c>
      <c r="B18" s="63"/>
      <c r="C18" s="61"/>
      <c r="D18" s="61"/>
      <c r="E18" s="61">
        <v>0</v>
      </c>
      <c r="F18" s="73"/>
      <c r="G18" s="26"/>
      <c r="H18" s="116">
        <f>$E$15*0.05</f>
        <v>0</v>
      </c>
      <c r="I18" s="104"/>
      <c r="J18" s="6"/>
      <c r="K18" s="6">
        <f t="shared" si="0"/>
        <v>0</v>
      </c>
      <c r="L18" s="105"/>
      <c r="M18" s="45"/>
    </row>
    <row r="19" spans="1:13" ht="12.75">
      <c r="A19" s="5" t="s">
        <v>23</v>
      </c>
      <c r="B19" s="63"/>
      <c r="C19" s="61"/>
      <c r="D19" s="61"/>
      <c r="E19" s="61">
        <v>0</v>
      </c>
      <c r="F19" s="73"/>
      <c r="G19" s="26"/>
      <c r="H19" s="116">
        <f>E12*0.1</f>
        <v>0</v>
      </c>
      <c r="I19" s="104"/>
      <c r="J19" s="6"/>
      <c r="K19" s="6">
        <f t="shared" si="0"/>
        <v>0</v>
      </c>
      <c r="L19" s="105"/>
      <c r="M19" s="45"/>
    </row>
    <row r="20" spans="1:13" ht="12.75">
      <c r="A20" s="5" t="s">
        <v>24</v>
      </c>
      <c r="B20" s="63"/>
      <c r="C20" s="61"/>
      <c r="D20" s="62"/>
      <c r="E20" s="61"/>
      <c r="F20" s="73"/>
      <c r="G20" s="26"/>
      <c r="H20" s="116">
        <f>E9*0.2</f>
        <v>0</v>
      </c>
      <c r="I20" s="104"/>
      <c r="J20" s="6"/>
      <c r="K20" s="6">
        <f t="shared" si="0"/>
        <v>0</v>
      </c>
      <c r="L20" s="105"/>
      <c r="M20" s="45"/>
    </row>
    <row r="21" spans="1:13" ht="12.75">
      <c r="A21" s="5" t="s">
        <v>25</v>
      </c>
      <c r="B21" s="63"/>
      <c r="C21" s="61"/>
      <c r="D21" s="61"/>
      <c r="E21" s="61">
        <v>0</v>
      </c>
      <c r="F21" s="73"/>
      <c r="G21" s="26"/>
      <c r="H21" s="116">
        <f>E20*0.2</f>
        <v>0</v>
      </c>
      <c r="I21" s="104"/>
      <c r="J21" s="6"/>
      <c r="K21" s="6">
        <f t="shared" si="0"/>
        <v>0</v>
      </c>
      <c r="L21" s="105"/>
      <c r="M21" s="45"/>
    </row>
    <row r="22" spans="1:13" ht="12.75">
      <c r="A22" s="5" t="s">
        <v>26</v>
      </c>
      <c r="B22" s="63"/>
      <c r="C22" s="61"/>
      <c r="D22" s="61"/>
      <c r="E22" s="61">
        <v>0</v>
      </c>
      <c r="F22" s="73"/>
      <c r="G22" s="26"/>
      <c r="H22" s="116">
        <f>E22*0.2</f>
        <v>0</v>
      </c>
      <c r="I22" s="104"/>
      <c r="J22" s="6"/>
      <c r="K22" s="6">
        <f>H20</f>
        <v>0</v>
      </c>
      <c r="L22" s="105"/>
      <c r="M22" s="45"/>
    </row>
    <row r="23" spans="1:13" ht="12.75">
      <c r="A23" s="5" t="s">
        <v>27</v>
      </c>
      <c r="B23" s="63"/>
      <c r="C23" s="61"/>
      <c r="D23" s="61"/>
      <c r="E23" s="61">
        <v>0</v>
      </c>
      <c r="F23" s="73"/>
      <c r="G23" s="26"/>
      <c r="H23" s="116">
        <f>E20*0.2</f>
        <v>0</v>
      </c>
      <c r="I23" s="104"/>
      <c r="J23" s="6"/>
      <c r="K23" s="6">
        <f aca="true" t="shared" si="1" ref="K23:K38">H21</f>
        <v>0</v>
      </c>
      <c r="L23" s="105"/>
      <c r="M23" s="6"/>
    </row>
    <row r="24" spans="1:13" ht="12.75">
      <c r="A24" s="5" t="s">
        <v>28</v>
      </c>
      <c r="B24" s="63"/>
      <c r="C24" s="61"/>
      <c r="D24" s="61"/>
      <c r="E24" s="61">
        <v>0</v>
      </c>
      <c r="F24" s="73"/>
      <c r="G24" s="26"/>
      <c r="H24" s="116">
        <f>E20*0.15+E22*0.2</f>
        <v>0</v>
      </c>
      <c r="I24" s="104"/>
      <c r="J24" s="6"/>
      <c r="K24" s="6">
        <f t="shared" si="1"/>
        <v>0</v>
      </c>
      <c r="L24" s="105"/>
      <c r="M24" s="6"/>
    </row>
    <row r="25" spans="1:13" ht="12.75">
      <c r="A25" s="5" t="s">
        <v>29</v>
      </c>
      <c r="B25" s="63"/>
      <c r="C25" s="61"/>
      <c r="D25" s="61"/>
      <c r="E25" s="61">
        <v>0</v>
      </c>
      <c r="F25" s="73"/>
      <c r="G25" s="26"/>
      <c r="H25" s="116">
        <f>E20*0.15</f>
        <v>0</v>
      </c>
      <c r="I25" s="104"/>
      <c r="J25" s="6"/>
      <c r="K25" s="6">
        <f t="shared" si="1"/>
        <v>0</v>
      </c>
      <c r="L25" s="105"/>
      <c r="M25" s="6"/>
    </row>
    <row r="26" spans="1:13" ht="12.75">
      <c r="A26" s="5" t="s">
        <v>30</v>
      </c>
      <c r="B26" s="63"/>
      <c r="C26" s="61"/>
      <c r="D26" s="61"/>
      <c r="E26" s="61">
        <v>0</v>
      </c>
      <c r="F26" s="73"/>
      <c r="G26" s="26"/>
      <c r="H26" s="116">
        <f>E20*0.1+E22*0.2</f>
        <v>0</v>
      </c>
      <c r="I26" s="104"/>
      <c r="J26" s="6"/>
      <c r="K26" s="6">
        <f t="shared" si="1"/>
        <v>0</v>
      </c>
      <c r="L26" s="105"/>
      <c r="M26" s="6"/>
    </row>
    <row r="27" spans="1:13" ht="12.75">
      <c r="A27" s="5" t="s">
        <v>31</v>
      </c>
      <c r="B27" s="63"/>
      <c r="C27" s="61"/>
      <c r="D27" s="61"/>
      <c r="E27" s="61">
        <v>0</v>
      </c>
      <c r="F27" s="73"/>
      <c r="G27" s="26"/>
      <c r="H27" s="116">
        <f>E22*0.2</f>
        <v>0</v>
      </c>
      <c r="I27" s="104"/>
      <c r="J27" s="6"/>
      <c r="K27" s="6">
        <f t="shared" si="1"/>
        <v>0</v>
      </c>
      <c r="L27" s="105"/>
      <c r="M27" s="6"/>
    </row>
    <row r="28" spans="1:13" ht="12.75">
      <c r="A28" s="5" t="s">
        <v>32</v>
      </c>
      <c r="B28" s="63"/>
      <c r="C28" s="61"/>
      <c r="D28" s="61"/>
      <c r="E28" s="61">
        <f>2082500+368478</f>
        <v>2450978</v>
      </c>
      <c r="F28" s="73"/>
      <c r="G28" s="26"/>
      <c r="H28" s="116">
        <f>E20*0.2</f>
        <v>0</v>
      </c>
      <c r="I28" s="104"/>
      <c r="J28" s="6"/>
      <c r="K28" s="6">
        <f t="shared" si="1"/>
        <v>0</v>
      </c>
      <c r="L28" s="105"/>
      <c r="M28" s="6"/>
    </row>
    <row r="29" spans="1:13" ht="12.75">
      <c r="A29" s="5" t="s">
        <v>33</v>
      </c>
      <c r="B29" s="61"/>
      <c r="C29" s="61"/>
      <c r="D29" s="62"/>
      <c r="E29" s="62"/>
      <c r="F29" s="73"/>
      <c r="G29" s="26"/>
      <c r="H29" s="116">
        <f>E28*0.2</f>
        <v>490195.60000000003</v>
      </c>
      <c r="I29" s="104"/>
      <c r="J29" s="6"/>
      <c r="K29" s="6">
        <f t="shared" si="1"/>
        <v>0</v>
      </c>
      <c r="L29" s="105"/>
      <c r="M29" s="6"/>
    </row>
    <row r="30" spans="1:13" ht="12.75">
      <c r="A30" s="5" t="s">
        <v>34</v>
      </c>
      <c r="B30" s="61"/>
      <c r="C30" s="61"/>
      <c r="D30" s="62"/>
      <c r="E30" s="62"/>
      <c r="F30" s="62"/>
      <c r="G30" s="6"/>
      <c r="H30" s="116"/>
      <c r="I30" s="104"/>
      <c r="J30" s="6"/>
      <c r="K30" s="6">
        <f t="shared" si="1"/>
        <v>0</v>
      </c>
      <c r="L30" s="105"/>
      <c r="M30" s="6"/>
    </row>
    <row r="31" spans="1:13" ht="12.75">
      <c r="A31" s="5" t="s">
        <v>35</v>
      </c>
      <c r="B31" s="61"/>
      <c r="C31" s="61"/>
      <c r="D31" s="62"/>
      <c r="E31" s="62"/>
      <c r="F31" s="62"/>
      <c r="G31" s="6"/>
      <c r="H31" s="116">
        <f>E28*0.2</f>
        <v>490195.60000000003</v>
      </c>
      <c r="I31" s="104"/>
      <c r="J31" s="6"/>
      <c r="K31" s="6">
        <f t="shared" si="1"/>
        <v>490195.60000000003</v>
      </c>
      <c r="L31" s="105"/>
      <c r="M31" s="6"/>
    </row>
    <row r="32" spans="1:13" ht="12.75">
      <c r="A32" s="5" t="s">
        <v>36</v>
      </c>
      <c r="B32" s="61"/>
      <c r="C32" s="61"/>
      <c r="D32" s="62"/>
      <c r="E32" s="62"/>
      <c r="F32" s="62"/>
      <c r="G32" s="6"/>
      <c r="H32" s="116"/>
      <c r="I32" s="104"/>
      <c r="J32" s="6"/>
      <c r="K32" s="6">
        <f t="shared" si="1"/>
        <v>0</v>
      </c>
      <c r="L32" s="105"/>
      <c r="M32" s="6"/>
    </row>
    <row r="33" spans="1:13" ht="12.75">
      <c r="A33" s="5" t="s">
        <v>37</v>
      </c>
      <c r="B33" s="57"/>
      <c r="C33" s="57"/>
      <c r="D33" s="58"/>
      <c r="E33" s="58"/>
      <c r="F33" s="58"/>
      <c r="G33" s="6"/>
      <c r="H33" s="116">
        <f>E28*0.2</f>
        <v>490195.60000000003</v>
      </c>
      <c r="I33" s="104"/>
      <c r="J33" s="6"/>
      <c r="K33" s="6">
        <f t="shared" si="1"/>
        <v>490195.60000000003</v>
      </c>
      <c r="L33" s="105"/>
      <c r="M33" s="6"/>
    </row>
    <row r="34" spans="1:13" ht="12.75">
      <c r="A34" s="5" t="s">
        <v>38</v>
      </c>
      <c r="B34" s="57"/>
      <c r="C34" s="57"/>
      <c r="D34" s="58"/>
      <c r="E34" s="58"/>
      <c r="F34" s="58"/>
      <c r="G34" s="6"/>
      <c r="H34" s="116"/>
      <c r="I34" s="104"/>
      <c r="J34" s="6"/>
      <c r="K34" s="6">
        <f t="shared" si="1"/>
        <v>0</v>
      </c>
      <c r="L34" s="105"/>
      <c r="M34" s="6"/>
    </row>
    <row r="35" spans="1:13" ht="12.75">
      <c r="A35" s="5" t="s">
        <v>39</v>
      </c>
      <c r="B35" s="57"/>
      <c r="C35" s="57"/>
      <c r="D35" s="58"/>
      <c r="E35" s="58"/>
      <c r="F35" s="58"/>
      <c r="G35" s="6"/>
      <c r="H35" s="116">
        <f>E28*0.2</f>
        <v>490195.60000000003</v>
      </c>
      <c r="I35" s="104"/>
      <c r="J35" s="6"/>
      <c r="K35" s="6">
        <f t="shared" si="1"/>
        <v>490195.60000000003</v>
      </c>
      <c r="L35" s="105"/>
      <c r="M35" s="6"/>
    </row>
    <row r="36" spans="1:13" ht="12.75">
      <c r="A36" s="5" t="s">
        <v>40</v>
      </c>
      <c r="B36" s="57"/>
      <c r="C36" s="58"/>
      <c r="D36" s="58"/>
      <c r="E36" s="115"/>
      <c r="F36" s="58"/>
      <c r="G36" s="6"/>
      <c r="I36" s="104"/>
      <c r="J36" s="6"/>
      <c r="K36" s="6">
        <f t="shared" si="1"/>
        <v>0</v>
      </c>
      <c r="L36" s="105"/>
      <c r="M36" s="6"/>
    </row>
    <row r="37" spans="1:13" ht="12.75">
      <c r="A37" s="5" t="s">
        <v>41</v>
      </c>
      <c r="B37" s="57"/>
      <c r="C37" s="58"/>
      <c r="D37" s="58"/>
      <c r="E37" s="58"/>
      <c r="F37" s="58"/>
      <c r="G37" s="6"/>
      <c r="H37" s="116">
        <f>E28*0.2</f>
        <v>490195.60000000003</v>
      </c>
      <c r="I37" s="104"/>
      <c r="J37" s="6"/>
      <c r="K37" s="6">
        <f>E28*0.15</f>
        <v>367646.7</v>
      </c>
      <c r="L37" s="105"/>
      <c r="M37" s="6"/>
    </row>
    <row r="38" spans="1:13" ht="12.75">
      <c r="A38" s="5" t="s">
        <v>42</v>
      </c>
      <c r="B38" s="57"/>
      <c r="C38" s="58"/>
      <c r="D38" s="58"/>
      <c r="E38" s="58"/>
      <c r="F38" s="58"/>
      <c r="G38" s="6"/>
      <c r="H38" s="26"/>
      <c r="I38" s="6"/>
      <c r="J38" s="6"/>
      <c r="K38" s="6">
        <f t="shared" si="1"/>
        <v>0</v>
      </c>
      <c r="L38" s="105"/>
      <c r="M38" s="6"/>
    </row>
    <row r="39" spans="1:13" ht="12.75">
      <c r="A39" s="5" t="s">
        <v>43</v>
      </c>
      <c r="B39" s="57"/>
      <c r="C39" s="58"/>
      <c r="D39" s="58"/>
      <c r="E39" s="58"/>
      <c r="F39" s="58"/>
      <c r="H39" s="6"/>
      <c r="J39" s="6"/>
      <c r="K39" s="6">
        <f>E28*0.15</f>
        <v>367646.7</v>
      </c>
      <c r="L39" s="105"/>
      <c r="M39" s="6"/>
    </row>
    <row r="40" spans="1:13" ht="12.75">
      <c r="A40" s="5"/>
      <c r="B40" s="6"/>
      <c r="G40" s="6"/>
      <c r="I40" s="6"/>
      <c r="J40" s="6"/>
      <c r="K40" s="6"/>
      <c r="L40" s="6"/>
      <c r="M40" s="6"/>
    </row>
    <row r="41" spans="8:13" ht="12.75">
      <c r="H41" s="6"/>
      <c r="J41" s="6"/>
      <c r="K41" s="6"/>
      <c r="L41" s="6"/>
      <c r="M41" s="6"/>
    </row>
    <row r="42" spans="11:13" ht="12.75">
      <c r="K42" s="6"/>
      <c r="L42" s="6"/>
      <c r="M42" s="6"/>
    </row>
    <row r="43" ht="12.75">
      <c r="M43" s="6"/>
    </row>
    <row r="44" ht="12.75">
      <c r="A44" t="s">
        <v>58</v>
      </c>
    </row>
    <row r="46" spans="1:13" ht="51">
      <c r="A46" s="4" t="s">
        <v>4</v>
      </c>
      <c r="B46" s="4" t="s">
        <v>5</v>
      </c>
      <c r="C46" s="4" t="s">
        <v>6</v>
      </c>
      <c r="D46" s="4" t="s">
        <v>7</v>
      </c>
      <c r="E46" s="12" t="s">
        <v>137</v>
      </c>
      <c r="F46" s="12" t="s">
        <v>139</v>
      </c>
      <c r="G46" s="12" t="s">
        <v>138</v>
      </c>
      <c r="H46" s="12" t="s">
        <v>141</v>
      </c>
      <c r="I46" s="12" t="s">
        <v>142</v>
      </c>
      <c r="J46" s="12" t="s">
        <v>147</v>
      </c>
      <c r="K46" s="12" t="s">
        <v>145</v>
      </c>
      <c r="L46" s="12" t="s">
        <v>146</v>
      </c>
      <c r="M46" s="12" t="s">
        <v>144</v>
      </c>
    </row>
    <row r="47" spans="1:13" ht="12.75">
      <c r="A47" s="5" t="s">
        <v>8</v>
      </c>
      <c r="B47">
        <v>0</v>
      </c>
      <c r="C47" s="6">
        <v>0</v>
      </c>
      <c r="D47" s="6">
        <v>0</v>
      </c>
      <c r="E47" s="6"/>
      <c r="F47" s="6"/>
      <c r="G47" s="6">
        <f>G4</f>
        <v>0</v>
      </c>
      <c r="H47" s="6"/>
      <c r="I47" s="6"/>
      <c r="J47" s="6">
        <f>J4</f>
        <v>0</v>
      </c>
      <c r="K47" s="6"/>
      <c r="L47" s="6"/>
      <c r="M47" s="6">
        <f>M4</f>
        <v>0</v>
      </c>
    </row>
    <row r="48" spans="1:13" ht="12.75">
      <c r="A48" s="5" t="s">
        <v>9</v>
      </c>
      <c r="B48">
        <v>0</v>
      </c>
      <c r="C48" s="6">
        <v>0</v>
      </c>
      <c r="D48" s="6">
        <v>0</v>
      </c>
      <c r="E48" s="6"/>
      <c r="F48" s="6"/>
      <c r="G48" s="6">
        <f>G47+G5</f>
        <v>0</v>
      </c>
      <c r="H48" s="6"/>
      <c r="I48" s="6"/>
      <c r="J48" s="6">
        <f>J47+J5</f>
        <v>0</v>
      </c>
      <c r="K48" s="6"/>
      <c r="L48" s="6"/>
      <c r="M48" s="6">
        <f>M47+M5</f>
        <v>0</v>
      </c>
    </row>
    <row r="49" spans="1:13" ht="12.75">
      <c r="A49" s="5" t="s">
        <v>10</v>
      </c>
      <c r="B49">
        <v>0</v>
      </c>
      <c r="C49" s="6">
        <v>0</v>
      </c>
      <c r="D49" s="6">
        <v>0</v>
      </c>
      <c r="E49" s="6"/>
      <c r="F49" s="6"/>
      <c r="G49" s="6">
        <f>G48+G6</f>
        <v>0</v>
      </c>
      <c r="H49" s="6"/>
      <c r="I49" s="6"/>
      <c r="J49" s="6">
        <f>J48+J6</f>
        <v>0</v>
      </c>
      <c r="K49" s="6"/>
      <c r="L49" s="6"/>
      <c r="M49" s="6">
        <f>M48+M6</f>
        <v>0</v>
      </c>
    </row>
    <row r="50" spans="1:13" ht="12.75">
      <c r="A50" s="5" t="s">
        <v>11</v>
      </c>
      <c r="B50" s="6"/>
      <c r="C50" s="6"/>
      <c r="D50" s="6"/>
      <c r="E50" s="6"/>
      <c r="F50" s="6"/>
      <c r="G50" s="6">
        <f>G49+G7</f>
        <v>0</v>
      </c>
      <c r="H50" s="6"/>
      <c r="I50" s="6"/>
      <c r="J50" s="6">
        <f>J49+J7</f>
        <v>0</v>
      </c>
      <c r="K50" s="6"/>
      <c r="L50" s="6"/>
      <c r="M50" s="6">
        <f>M49+M7</f>
        <v>0</v>
      </c>
    </row>
    <row r="51" spans="1:13" ht="12.75">
      <c r="A51" s="5" t="s">
        <v>12</v>
      </c>
      <c r="B51" s="6"/>
      <c r="C51" s="6"/>
      <c r="D51" s="6"/>
      <c r="E51" s="6">
        <f aca="true" t="shared" si="2" ref="E51:E82">E50+E8</f>
        <v>0</v>
      </c>
      <c r="F51" s="6"/>
      <c r="G51" s="6">
        <f>G50+G8</f>
        <v>0</v>
      </c>
      <c r="H51" s="6"/>
      <c r="I51" s="6"/>
      <c r="J51" s="6">
        <f>J50+J8</f>
        <v>0</v>
      </c>
      <c r="K51" s="6"/>
      <c r="L51" s="6"/>
      <c r="M51" s="6">
        <f>M50+M8</f>
        <v>0</v>
      </c>
    </row>
    <row r="52" spans="1:13" ht="12.75">
      <c r="A52" s="5" t="s">
        <v>13</v>
      </c>
      <c r="B52" s="6"/>
      <c r="C52" s="6"/>
      <c r="D52" s="6"/>
      <c r="E52" s="6">
        <f t="shared" si="2"/>
        <v>0</v>
      </c>
      <c r="F52" s="6"/>
      <c r="G52" s="6">
        <f>G51+G9</f>
        <v>0</v>
      </c>
      <c r="H52" s="6">
        <f>H51+H10</f>
        <v>0</v>
      </c>
      <c r="I52" s="6"/>
      <c r="J52" s="6">
        <f>J51+J9</f>
        <v>0</v>
      </c>
      <c r="K52" s="6"/>
      <c r="L52" s="6"/>
      <c r="M52" s="6">
        <f>M51+M9</f>
        <v>0</v>
      </c>
    </row>
    <row r="53" spans="1:13" ht="12.75">
      <c r="A53" s="5" t="s">
        <v>14</v>
      </c>
      <c r="B53" s="6"/>
      <c r="C53" s="6"/>
      <c r="D53" s="6"/>
      <c r="E53" s="6">
        <f t="shared" si="2"/>
        <v>0</v>
      </c>
      <c r="F53" s="6"/>
      <c r="G53" s="6"/>
      <c r="H53" s="6">
        <f aca="true" t="shared" si="3" ref="H53:H82">H52+H10</f>
        <v>0</v>
      </c>
      <c r="I53" s="6"/>
      <c r="J53" s="6"/>
      <c r="K53" s="6">
        <f aca="true" t="shared" si="4" ref="K53:K82">K52+K10</f>
        <v>0</v>
      </c>
      <c r="L53" s="6"/>
      <c r="M53" s="6"/>
    </row>
    <row r="54" spans="1:13" ht="12.75">
      <c r="A54" s="5" t="s">
        <v>15</v>
      </c>
      <c r="B54" s="6"/>
      <c r="C54" s="6"/>
      <c r="D54" s="6"/>
      <c r="E54" s="6">
        <f t="shared" si="2"/>
        <v>0</v>
      </c>
      <c r="F54" s="6"/>
      <c r="G54" s="6"/>
      <c r="H54" s="6">
        <f t="shared" si="3"/>
        <v>0</v>
      </c>
      <c r="I54" s="6"/>
      <c r="J54" s="6"/>
      <c r="K54" s="6">
        <f t="shared" si="4"/>
        <v>0</v>
      </c>
      <c r="L54" s="6"/>
      <c r="M54" s="6"/>
    </row>
    <row r="55" spans="1:13" ht="12.75">
      <c r="A55" s="5" t="s">
        <v>16</v>
      </c>
      <c r="B55" s="6"/>
      <c r="C55" s="6"/>
      <c r="D55" s="6"/>
      <c r="E55" s="6">
        <f t="shared" si="2"/>
        <v>0</v>
      </c>
      <c r="F55" s="6"/>
      <c r="G55" s="6"/>
      <c r="H55" s="6">
        <f t="shared" si="3"/>
        <v>0</v>
      </c>
      <c r="I55" s="6"/>
      <c r="J55" s="6"/>
      <c r="K55" s="6">
        <f t="shared" si="4"/>
        <v>0</v>
      </c>
      <c r="L55" s="6"/>
      <c r="M55" s="6"/>
    </row>
    <row r="56" spans="1:13" ht="12.75">
      <c r="A56" s="5" t="s">
        <v>17</v>
      </c>
      <c r="B56" s="6"/>
      <c r="C56" s="6"/>
      <c r="D56" s="6"/>
      <c r="E56" s="6">
        <f t="shared" si="2"/>
        <v>0</v>
      </c>
      <c r="F56" s="6"/>
      <c r="G56" s="6"/>
      <c r="H56" s="6">
        <f t="shared" si="3"/>
        <v>0</v>
      </c>
      <c r="I56" s="6"/>
      <c r="J56" s="6"/>
      <c r="K56" s="6">
        <f t="shared" si="4"/>
        <v>0</v>
      </c>
      <c r="L56" s="6"/>
      <c r="M56" s="6"/>
    </row>
    <row r="57" spans="1:13" ht="12.75">
      <c r="A57" s="5" t="s">
        <v>18</v>
      </c>
      <c r="B57" s="6"/>
      <c r="C57" s="6"/>
      <c r="D57" s="6"/>
      <c r="E57" s="6">
        <f t="shared" si="2"/>
        <v>0</v>
      </c>
      <c r="F57" s="6"/>
      <c r="G57" s="6"/>
      <c r="H57" s="6">
        <f t="shared" si="3"/>
        <v>0</v>
      </c>
      <c r="I57" s="6"/>
      <c r="J57" s="6"/>
      <c r="K57" s="6">
        <f t="shared" si="4"/>
        <v>0</v>
      </c>
      <c r="L57" s="6"/>
      <c r="M57" s="6"/>
    </row>
    <row r="58" spans="1:13" ht="12.75">
      <c r="A58" s="5" t="s">
        <v>19</v>
      </c>
      <c r="B58" s="6"/>
      <c r="C58" s="6"/>
      <c r="D58" s="6"/>
      <c r="E58" s="6">
        <f t="shared" si="2"/>
        <v>0</v>
      </c>
      <c r="F58" s="6"/>
      <c r="G58" s="6"/>
      <c r="H58" s="6">
        <f t="shared" si="3"/>
        <v>0</v>
      </c>
      <c r="I58" s="6"/>
      <c r="J58" s="6"/>
      <c r="K58" s="6">
        <f t="shared" si="4"/>
        <v>0</v>
      </c>
      <c r="L58" s="6"/>
      <c r="M58" s="6"/>
    </row>
    <row r="59" spans="1:13" ht="12.75">
      <c r="A59" s="5" t="s">
        <v>20</v>
      </c>
      <c r="B59" s="6"/>
      <c r="C59" s="6"/>
      <c r="D59" s="6"/>
      <c r="E59" s="6">
        <f t="shared" si="2"/>
        <v>0</v>
      </c>
      <c r="F59" s="6"/>
      <c r="G59" s="6"/>
      <c r="H59" s="6">
        <f t="shared" si="3"/>
        <v>0</v>
      </c>
      <c r="I59" s="6"/>
      <c r="J59" s="6"/>
      <c r="K59" s="6">
        <f t="shared" si="4"/>
        <v>0</v>
      </c>
      <c r="L59" s="6"/>
      <c r="M59" s="6"/>
    </row>
    <row r="60" spans="1:13" ht="12.75">
      <c r="A60" s="5" t="s">
        <v>21</v>
      </c>
      <c r="B60" s="6"/>
      <c r="C60" s="6"/>
      <c r="D60" s="6"/>
      <c r="E60" s="6">
        <f t="shared" si="2"/>
        <v>0</v>
      </c>
      <c r="F60" s="6"/>
      <c r="G60" s="6"/>
      <c r="H60" s="6">
        <f t="shared" si="3"/>
        <v>0</v>
      </c>
      <c r="I60" s="6"/>
      <c r="J60" s="6"/>
      <c r="K60" s="6">
        <f t="shared" si="4"/>
        <v>0</v>
      </c>
      <c r="L60" s="6"/>
      <c r="M60" s="6"/>
    </row>
    <row r="61" spans="1:13" ht="12.75">
      <c r="A61" s="5" t="s">
        <v>22</v>
      </c>
      <c r="B61" s="6"/>
      <c r="C61" s="6"/>
      <c r="D61" s="6"/>
      <c r="E61" s="6">
        <f t="shared" si="2"/>
        <v>0</v>
      </c>
      <c r="F61" s="6"/>
      <c r="G61" s="6"/>
      <c r="H61" s="6">
        <f t="shared" si="3"/>
        <v>0</v>
      </c>
      <c r="I61" s="6"/>
      <c r="J61" s="6"/>
      <c r="K61" s="6">
        <f t="shared" si="4"/>
        <v>0</v>
      </c>
      <c r="L61" s="6"/>
      <c r="M61" s="6"/>
    </row>
    <row r="62" spans="1:13" ht="12.75">
      <c r="A62" s="5" t="s">
        <v>23</v>
      </c>
      <c r="B62" s="6"/>
      <c r="C62" s="6"/>
      <c r="D62" s="6"/>
      <c r="E62" s="6">
        <f t="shared" si="2"/>
        <v>0</v>
      </c>
      <c r="F62" s="6"/>
      <c r="G62" s="6"/>
      <c r="H62" s="6">
        <f t="shared" si="3"/>
        <v>0</v>
      </c>
      <c r="I62" s="6"/>
      <c r="J62" s="6"/>
      <c r="K62" s="6">
        <f t="shared" si="4"/>
        <v>0</v>
      </c>
      <c r="L62" s="6"/>
      <c r="M62" s="6"/>
    </row>
    <row r="63" spans="1:13" ht="12.75">
      <c r="A63" s="5" t="s">
        <v>24</v>
      </c>
      <c r="B63" s="6"/>
      <c r="C63" s="6"/>
      <c r="D63" s="6"/>
      <c r="E63" s="6">
        <f t="shared" si="2"/>
        <v>0</v>
      </c>
      <c r="F63" s="6"/>
      <c r="G63" s="6"/>
      <c r="H63" s="6">
        <f t="shared" si="3"/>
        <v>0</v>
      </c>
      <c r="I63" s="6"/>
      <c r="J63" s="6"/>
      <c r="K63" s="6">
        <f t="shared" si="4"/>
        <v>0</v>
      </c>
      <c r="L63" s="6"/>
      <c r="M63" s="6"/>
    </row>
    <row r="64" spans="1:13" ht="12.75">
      <c r="A64" s="5" t="s">
        <v>25</v>
      </c>
      <c r="B64" s="6"/>
      <c r="C64" s="6"/>
      <c r="D64" s="6"/>
      <c r="E64" s="6">
        <f t="shared" si="2"/>
        <v>0</v>
      </c>
      <c r="F64" s="6"/>
      <c r="G64" s="6"/>
      <c r="H64" s="6">
        <f t="shared" si="3"/>
        <v>0</v>
      </c>
      <c r="I64" s="6"/>
      <c r="J64" s="6"/>
      <c r="K64" s="6">
        <f t="shared" si="4"/>
        <v>0</v>
      </c>
      <c r="L64" s="6"/>
      <c r="M64" s="6"/>
    </row>
    <row r="65" spans="1:13" ht="12.75">
      <c r="A65" s="5" t="s">
        <v>26</v>
      </c>
      <c r="B65" s="6"/>
      <c r="C65" s="6"/>
      <c r="D65" s="6"/>
      <c r="E65" s="6">
        <f t="shared" si="2"/>
        <v>0</v>
      </c>
      <c r="F65" s="6"/>
      <c r="G65" s="6"/>
      <c r="H65" s="6">
        <f t="shared" si="3"/>
        <v>0</v>
      </c>
      <c r="I65" s="6"/>
      <c r="J65" s="6"/>
      <c r="K65" s="6">
        <f t="shared" si="4"/>
        <v>0</v>
      </c>
      <c r="L65" s="6"/>
      <c r="M65" s="6"/>
    </row>
    <row r="66" spans="1:13" ht="12.75">
      <c r="A66" s="5" t="s">
        <v>27</v>
      </c>
      <c r="B66" s="6"/>
      <c r="C66" s="6"/>
      <c r="D66" s="6"/>
      <c r="E66" s="6">
        <f t="shared" si="2"/>
        <v>0</v>
      </c>
      <c r="F66" s="6"/>
      <c r="G66" s="6"/>
      <c r="H66" s="6">
        <f t="shared" si="3"/>
        <v>0</v>
      </c>
      <c r="I66" s="6"/>
      <c r="J66" s="6"/>
      <c r="K66" s="6">
        <f t="shared" si="4"/>
        <v>0</v>
      </c>
      <c r="L66" s="6"/>
      <c r="M66" s="6"/>
    </row>
    <row r="67" spans="1:13" ht="12.75">
      <c r="A67" s="5" t="s">
        <v>28</v>
      </c>
      <c r="E67" s="6">
        <f t="shared" si="2"/>
        <v>0</v>
      </c>
      <c r="G67" s="6"/>
      <c r="H67" s="6">
        <f t="shared" si="3"/>
        <v>0</v>
      </c>
      <c r="I67" s="6"/>
      <c r="J67" s="6"/>
      <c r="K67" s="6">
        <f t="shared" si="4"/>
        <v>0</v>
      </c>
      <c r="L67" s="6"/>
      <c r="M67" s="6"/>
    </row>
    <row r="68" spans="1:13" ht="12.75">
      <c r="A68" s="5" t="s">
        <v>29</v>
      </c>
      <c r="E68" s="6">
        <f t="shared" si="2"/>
        <v>0</v>
      </c>
      <c r="G68" s="6"/>
      <c r="H68" s="6">
        <f t="shared" si="3"/>
        <v>0</v>
      </c>
      <c r="I68" s="6"/>
      <c r="J68" s="6"/>
      <c r="K68" s="6">
        <f t="shared" si="4"/>
        <v>0</v>
      </c>
      <c r="L68" s="6"/>
      <c r="M68" s="6"/>
    </row>
    <row r="69" spans="1:13" ht="12.75">
      <c r="A69" s="5" t="s">
        <v>30</v>
      </c>
      <c r="E69" s="6">
        <f t="shared" si="2"/>
        <v>0</v>
      </c>
      <c r="G69" s="6"/>
      <c r="H69" s="6">
        <f t="shared" si="3"/>
        <v>0</v>
      </c>
      <c r="I69" s="6"/>
      <c r="J69" s="6"/>
      <c r="K69" s="6">
        <f t="shared" si="4"/>
        <v>0</v>
      </c>
      <c r="L69" s="6"/>
      <c r="M69" s="6"/>
    </row>
    <row r="70" spans="1:13" ht="12.75">
      <c r="A70" s="5" t="s">
        <v>31</v>
      </c>
      <c r="E70" s="6">
        <f t="shared" si="2"/>
        <v>0</v>
      </c>
      <c r="G70" s="6"/>
      <c r="H70" s="6">
        <f t="shared" si="3"/>
        <v>0</v>
      </c>
      <c r="I70" s="6"/>
      <c r="J70" s="6"/>
      <c r="K70" s="6">
        <f t="shared" si="4"/>
        <v>0</v>
      </c>
      <c r="L70" s="6"/>
      <c r="M70" s="6"/>
    </row>
    <row r="71" spans="1:13" ht="12.75">
      <c r="A71" s="5" t="s">
        <v>32</v>
      </c>
      <c r="E71" s="6">
        <f t="shared" si="2"/>
        <v>2450978</v>
      </c>
      <c r="G71" s="6"/>
      <c r="H71" s="6">
        <f t="shared" si="3"/>
        <v>0</v>
      </c>
      <c r="I71" s="6"/>
      <c r="J71" s="6"/>
      <c r="K71" s="6">
        <f t="shared" si="4"/>
        <v>0</v>
      </c>
      <c r="L71" s="6"/>
      <c r="M71" s="6"/>
    </row>
    <row r="72" spans="1:13" ht="12.75">
      <c r="A72" s="5" t="s">
        <v>33</v>
      </c>
      <c r="E72" s="6">
        <f t="shared" si="2"/>
        <v>2450978</v>
      </c>
      <c r="G72" s="6"/>
      <c r="H72" s="6">
        <f t="shared" si="3"/>
        <v>490195.60000000003</v>
      </c>
      <c r="I72" s="6"/>
      <c r="J72" s="6"/>
      <c r="K72" s="6">
        <f t="shared" si="4"/>
        <v>0</v>
      </c>
      <c r="L72" s="6"/>
      <c r="M72" s="6"/>
    </row>
    <row r="73" spans="1:13" ht="12.75">
      <c r="A73" s="5" t="s">
        <v>34</v>
      </c>
      <c r="E73" s="6">
        <f t="shared" si="2"/>
        <v>2450978</v>
      </c>
      <c r="G73" s="6"/>
      <c r="H73" s="6">
        <f t="shared" si="3"/>
        <v>490195.60000000003</v>
      </c>
      <c r="I73" s="6"/>
      <c r="J73" s="6"/>
      <c r="K73" s="6">
        <f t="shared" si="4"/>
        <v>0</v>
      </c>
      <c r="L73" s="6"/>
      <c r="M73" s="6"/>
    </row>
    <row r="74" spans="1:13" ht="12.75">
      <c r="A74" s="5" t="s">
        <v>35</v>
      </c>
      <c r="E74" s="6">
        <f t="shared" si="2"/>
        <v>2450978</v>
      </c>
      <c r="G74" s="6"/>
      <c r="H74" s="6">
        <f t="shared" si="3"/>
        <v>980391.2000000001</v>
      </c>
      <c r="I74" s="6"/>
      <c r="J74" s="6"/>
      <c r="K74" s="6">
        <f t="shared" si="4"/>
        <v>490195.60000000003</v>
      </c>
      <c r="L74" s="6"/>
      <c r="M74" s="6"/>
    </row>
    <row r="75" spans="1:13" ht="12.75">
      <c r="A75" s="5" t="s">
        <v>36</v>
      </c>
      <c r="E75" s="6">
        <f t="shared" si="2"/>
        <v>2450978</v>
      </c>
      <c r="G75" s="6"/>
      <c r="H75" s="6">
        <f t="shared" si="3"/>
        <v>980391.2000000001</v>
      </c>
      <c r="I75" s="6"/>
      <c r="J75" s="6"/>
      <c r="K75" s="6">
        <f t="shared" si="4"/>
        <v>490195.60000000003</v>
      </c>
      <c r="L75" s="6"/>
      <c r="M75" s="6"/>
    </row>
    <row r="76" spans="1:13" ht="12.75">
      <c r="A76" s="5" t="s">
        <v>37</v>
      </c>
      <c r="E76" s="6">
        <f t="shared" si="2"/>
        <v>2450978</v>
      </c>
      <c r="G76" s="6"/>
      <c r="H76" s="6">
        <f t="shared" si="3"/>
        <v>1470586.8</v>
      </c>
      <c r="I76" s="6"/>
      <c r="J76" s="6"/>
      <c r="K76" s="6">
        <f t="shared" si="4"/>
        <v>980391.2000000001</v>
      </c>
      <c r="L76" s="6"/>
      <c r="M76" s="6"/>
    </row>
    <row r="77" spans="1:13" ht="12.75">
      <c r="A77" s="5" t="s">
        <v>38</v>
      </c>
      <c r="E77" s="6">
        <f t="shared" si="2"/>
        <v>2450978</v>
      </c>
      <c r="G77" s="6"/>
      <c r="H77" s="6">
        <f t="shared" si="3"/>
        <v>1470586.8</v>
      </c>
      <c r="I77" s="6"/>
      <c r="J77" s="6"/>
      <c r="K77" s="6">
        <f t="shared" si="4"/>
        <v>980391.2000000001</v>
      </c>
      <c r="L77" s="6"/>
      <c r="M77" s="6"/>
    </row>
    <row r="78" spans="1:13" ht="12.75">
      <c r="A78" s="5" t="s">
        <v>39</v>
      </c>
      <c r="E78" s="6">
        <f t="shared" si="2"/>
        <v>2450978</v>
      </c>
      <c r="G78" s="6"/>
      <c r="H78" s="6">
        <f t="shared" si="3"/>
        <v>1960782.4000000001</v>
      </c>
      <c r="I78" s="6"/>
      <c r="J78" s="6"/>
      <c r="K78" s="6">
        <f t="shared" si="4"/>
        <v>1470586.8</v>
      </c>
      <c r="L78" s="6"/>
      <c r="M78" s="6"/>
    </row>
    <row r="79" spans="1:13" ht="12.75">
      <c r="A79" s="5" t="s">
        <v>40</v>
      </c>
      <c r="E79" s="6">
        <f t="shared" si="2"/>
        <v>2450978</v>
      </c>
      <c r="G79" s="6"/>
      <c r="H79" s="6">
        <f t="shared" si="3"/>
        <v>1960782.4000000001</v>
      </c>
      <c r="I79" s="6"/>
      <c r="J79" s="6"/>
      <c r="K79" s="6">
        <f t="shared" si="4"/>
        <v>1470586.8</v>
      </c>
      <c r="L79" s="6"/>
      <c r="M79" s="6"/>
    </row>
    <row r="80" spans="1:13" ht="12.75">
      <c r="A80" s="5" t="s">
        <v>41</v>
      </c>
      <c r="E80" s="6">
        <f t="shared" si="2"/>
        <v>2450978</v>
      </c>
      <c r="G80" s="6"/>
      <c r="H80" s="6">
        <f t="shared" si="3"/>
        <v>2450978</v>
      </c>
      <c r="I80" s="6"/>
      <c r="J80" s="6"/>
      <c r="K80" s="6">
        <f t="shared" si="4"/>
        <v>1838233.5</v>
      </c>
      <c r="L80" s="6"/>
      <c r="M80" s="6"/>
    </row>
    <row r="81" spans="1:13" ht="12.75">
      <c r="A81" s="5" t="s">
        <v>42</v>
      </c>
      <c r="E81" s="6">
        <f t="shared" si="2"/>
        <v>2450978</v>
      </c>
      <c r="G81" s="6"/>
      <c r="H81" s="6">
        <f t="shared" si="3"/>
        <v>2450978</v>
      </c>
      <c r="I81" s="6"/>
      <c r="J81" s="6"/>
      <c r="K81" s="6">
        <f t="shared" si="4"/>
        <v>1838233.5</v>
      </c>
      <c r="L81" s="6"/>
      <c r="M81" s="6"/>
    </row>
    <row r="82" spans="1:13" ht="12.75">
      <c r="A82" s="5" t="s">
        <v>43</v>
      </c>
      <c r="E82" s="6">
        <f t="shared" si="2"/>
        <v>2450978</v>
      </c>
      <c r="G82" s="6"/>
      <c r="H82" s="6">
        <f t="shared" si="3"/>
        <v>2450978</v>
      </c>
      <c r="I82" s="6"/>
      <c r="J82" s="6"/>
      <c r="K82" s="6">
        <f t="shared" si="4"/>
        <v>2205880.2</v>
      </c>
      <c r="L82" s="6"/>
      <c r="M82" s="6"/>
    </row>
  </sheetData>
  <mergeCells count="2">
    <mergeCell ref="A1:K2"/>
    <mergeCell ref="L1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55">
      <selection activeCell="H17" sqref="H17"/>
    </sheetView>
  </sheetViews>
  <sheetFormatPr defaultColWidth="9.140625" defaultRowHeight="12.75"/>
  <cols>
    <col min="2" max="2" width="13.28125" style="0" customWidth="1"/>
    <col min="3" max="3" width="12.7109375" style="0" customWidth="1"/>
    <col min="4" max="4" width="15.7109375" style="0" customWidth="1"/>
    <col min="5" max="5" width="12.28125" style="0" customWidth="1"/>
    <col min="6" max="6" width="12.8515625" style="0" customWidth="1"/>
    <col min="7" max="7" width="15.140625" style="0" customWidth="1"/>
    <col min="8" max="8" width="12.421875" style="0" customWidth="1"/>
    <col min="9" max="9" width="11.7109375" style="0" customWidth="1"/>
    <col min="10" max="10" width="11.140625" style="0" customWidth="1"/>
    <col min="11" max="11" width="13.140625" style="0" customWidth="1"/>
  </cols>
  <sheetData>
    <row r="1" spans="1:11" ht="12.75">
      <c r="A1" s="160" t="s">
        <v>190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38.25">
      <c r="A3" s="4" t="s">
        <v>4</v>
      </c>
      <c r="B3" s="4" t="s">
        <v>5</v>
      </c>
      <c r="C3" s="4" t="s">
        <v>6</v>
      </c>
      <c r="D3" s="4" t="s">
        <v>7</v>
      </c>
      <c r="E3" s="12" t="s">
        <v>137</v>
      </c>
      <c r="F3" s="12" t="s">
        <v>139</v>
      </c>
      <c r="G3" s="12" t="s">
        <v>138</v>
      </c>
      <c r="H3" s="12" t="s">
        <v>141</v>
      </c>
      <c r="I3" s="12" t="s">
        <v>142</v>
      </c>
      <c r="J3" s="12" t="s">
        <v>147</v>
      </c>
      <c r="K3" s="12" t="s">
        <v>145</v>
      </c>
    </row>
    <row r="4" spans="1:11" ht="12.75">
      <c r="A4" s="5" t="s">
        <v>8</v>
      </c>
      <c r="B4" s="6"/>
      <c r="C4" s="6"/>
      <c r="D4" s="6"/>
      <c r="E4" s="6"/>
      <c r="F4" s="6"/>
      <c r="G4" s="45">
        <v>0</v>
      </c>
      <c r="H4" s="45"/>
      <c r="I4" s="45"/>
      <c r="J4" s="6">
        <v>0</v>
      </c>
      <c r="K4" s="6"/>
    </row>
    <row r="5" spans="1:11" ht="12.75">
      <c r="A5" s="5" t="s">
        <v>9</v>
      </c>
      <c r="B5" s="6"/>
      <c r="C5" s="6"/>
      <c r="D5" s="6"/>
      <c r="E5" s="6"/>
      <c r="F5" s="6"/>
      <c r="G5" s="45">
        <v>0</v>
      </c>
      <c r="H5" s="45"/>
      <c r="I5" s="45"/>
      <c r="J5" s="6">
        <v>0</v>
      </c>
      <c r="K5" s="6"/>
    </row>
    <row r="6" spans="1:11" ht="12.75">
      <c r="A6" s="5" t="s">
        <v>10</v>
      </c>
      <c r="B6" s="6"/>
      <c r="C6" s="6"/>
      <c r="D6" s="6"/>
      <c r="E6" s="6"/>
      <c r="F6" s="6"/>
      <c r="G6" s="45">
        <v>0</v>
      </c>
      <c r="H6" s="45"/>
      <c r="I6" s="45"/>
      <c r="J6" s="6">
        <v>0</v>
      </c>
      <c r="K6" s="6"/>
    </row>
    <row r="7" spans="1:11" ht="12.75">
      <c r="A7" s="5" t="s">
        <v>11</v>
      </c>
      <c r="B7" s="6"/>
      <c r="C7" s="6"/>
      <c r="D7" s="6"/>
      <c r="E7" s="6"/>
      <c r="F7" s="6"/>
      <c r="G7" s="26">
        <v>0</v>
      </c>
      <c r="H7" s="26"/>
      <c r="I7" s="26"/>
      <c r="J7" s="6">
        <v>0</v>
      </c>
      <c r="K7" s="6"/>
    </row>
    <row r="8" spans="1:11" ht="12.75">
      <c r="A8" s="5" t="s">
        <v>12</v>
      </c>
      <c r="B8" s="63"/>
      <c r="C8" s="61"/>
      <c r="D8" s="61"/>
      <c r="E8" s="61"/>
      <c r="F8" s="73"/>
      <c r="G8" s="26"/>
      <c r="H8" s="26"/>
      <c r="I8" s="104"/>
      <c r="J8" s="6"/>
      <c r="K8" s="6"/>
    </row>
    <row r="9" spans="1:11" ht="12.75">
      <c r="A9" s="5" t="s">
        <v>13</v>
      </c>
      <c r="B9" s="63"/>
      <c r="C9" s="61"/>
      <c r="D9" s="61"/>
      <c r="E9" s="61"/>
      <c r="F9" s="73"/>
      <c r="G9" s="26"/>
      <c r="H9" s="116"/>
      <c r="I9" s="104"/>
      <c r="J9" s="6"/>
      <c r="K9" s="6"/>
    </row>
    <row r="10" spans="1:11" ht="12.75">
      <c r="A10" s="5" t="s">
        <v>14</v>
      </c>
      <c r="B10" s="63"/>
      <c r="C10" s="61"/>
      <c r="D10" s="61"/>
      <c r="E10" s="61">
        <v>0</v>
      </c>
      <c r="F10" s="73"/>
      <c r="G10" s="26"/>
      <c r="H10" s="116"/>
      <c r="I10" s="104"/>
      <c r="J10" s="6"/>
      <c r="K10" s="6"/>
    </row>
    <row r="11" spans="1:11" ht="12.75">
      <c r="A11" s="5" t="s">
        <v>15</v>
      </c>
      <c r="B11" s="63"/>
      <c r="C11" s="61"/>
      <c r="D11" s="61"/>
      <c r="E11" s="61">
        <v>398553</v>
      </c>
      <c r="F11" s="73"/>
      <c r="G11" s="26"/>
      <c r="I11" s="104"/>
      <c r="J11" s="6"/>
      <c r="K11" s="6"/>
    </row>
    <row r="12" spans="1:11" ht="12.75">
      <c r="A12" s="5" t="s">
        <v>16</v>
      </c>
      <c r="B12" s="63"/>
      <c r="C12" s="61"/>
      <c r="D12" s="61"/>
      <c r="E12" s="61"/>
      <c r="F12" s="73"/>
      <c r="G12" s="26"/>
      <c r="I12" s="104"/>
      <c r="J12" s="6"/>
      <c r="K12" s="6">
        <v>0</v>
      </c>
    </row>
    <row r="13" spans="1:11" ht="12.75">
      <c r="A13" s="5" t="s">
        <v>17</v>
      </c>
      <c r="B13" s="63"/>
      <c r="C13" s="61"/>
      <c r="D13" s="61"/>
      <c r="E13" s="61">
        <v>0</v>
      </c>
      <c r="F13" s="73"/>
      <c r="G13" s="26"/>
      <c r="H13" s="116">
        <f>E9*0.2</f>
        <v>0</v>
      </c>
      <c r="I13" s="104"/>
      <c r="J13" s="6"/>
      <c r="K13" s="6"/>
    </row>
    <row r="14" spans="1:11" ht="12.75">
      <c r="A14" s="5" t="s">
        <v>18</v>
      </c>
      <c r="B14" s="63"/>
      <c r="C14" s="61"/>
      <c r="D14" s="61"/>
      <c r="E14" s="61">
        <v>0</v>
      </c>
      <c r="F14" s="73"/>
      <c r="G14" s="26"/>
      <c r="H14" s="116">
        <f>E11</f>
        <v>398553</v>
      </c>
      <c r="I14" s="104"/>
      <c r="J14" s="6"/>
      <c r="K14" s="6"/>
    </row>
    <row r="15" spans="1:11" ht="12.75">
      <c r="A15" s="5" t="s">
        <v>19</v>
      </c>
      <c r="B15" s="63"/>
      <c r="C15" s="61"/>
      <c r="D15" s="61"/>
      <c r="E15" s="61">
        <v>0</v>
      </c>
      <c r="F15" s="73"/>
      <c r="G15" s="26"/>
      <c r="H15" s="116">
        <f>$E$15*0.25</f>
        <v>0</v>
      </c>
      <c r="I15" s="104"/>
      <c r="J15" s="6"/>
      <c r="K15" s="6">
        <f>H13</f>
        <v>0</v>
      </c>
    </row>
    <row r="16" spans="1:11" ht="12.75">
      <c r="A16" s="5" t="s">
        <v>20</v>
      </c>
      <c r="B16" s="63"/>
      <c r="C16" s="61"/>
      <c r="D16" s="61"/>
      <c r="E16" s="61">
        <v>0</v>
      </c>
      <c r="F16" s="73"/>
      <c r="G16" s="26"/>
      <c r="H16" s="116">
        <f>E9*0.15</f>
        <v>0</v>
      </c>
      <c r="I16" s="104"/>
      <c r="J16" s="6"/>
      <c r="K16" s="6">
        <f aca="true" t="shared" si="0" ref="K16:K39">H14</f>
        <v>398553</v>
      </c>
    </row>
    <row r="17" spans="1:11" ht="12.75">
      <c r="A17" s="5" t="s">
        <v>21</v>
      </c>
      <c r="B17" s="63"/>
      <c r="C17" s="61"/>
      <c r="D17" s="61"/>
      <c r="E17" s="61">
        <v>0</v>
      </c>
      <c r="F17" s="73"/>
      <c r="G17" s="26"/>
      <c r="H17" s="116">
        <f>$E$15*0.2</f>
        <v>0</v>
      </c>
      <c r="I17" s="104"/>
      <c r="J17" s="6"/>
      <c r="K17" s="6">
        <f t="shared" si="0"/>
        <v>0</v>
      </c>
    </row>
    <row r="18" spans="1:11" ht="12.75">
      <c r="A18" s="5" t="s">
        <v>22</v>
      </c>
      <c r="B18" s="63"/>
      <c r="C18" s="61"/>
      <c r="D18" s="61"/>
      <c r="E18" s="61">
        <v>0</v>
      </c>
      <c r="F18" s="73"/>
      <c r="G18" s="26"/>
      <c r="H18" s="116">
        <f>$E$15*0.05</f>
        <v>0</v>
      </c>
      <c r="I18" s="104"/>
      <c r="J18" s="6"/>
      <c r="K18" s="6">
        <f t="shared" si="0"/>
        <v>0</v>
      </c>
    </row>
    <row r="19" spans="1:11" ht="12.75">
      <c r="A19" s="5" t="s">
        <v>23</v>
      </c>
      <c r="B19" s="63"/>
      <c r="C19" s="61"/>
      <c r="D19" s="61"/>
      <c r="E19" s="61">
        <v>0</v>
      </c>
      <c r="F19" s="73"/>
      <c r="G19" s="26"/>
      <c r="H19" s="116">
        <f>E12*0.1</f>
        <v>0</v>
      </c>
      <c r="I19" s="104"/>
      <c r="J19" s="6"/>
      <c r="K19" s="6">
        <f t="shared" si="0"/>
        <v>0</v>
      </c>
    </row>
    <row r="20" spans="1:11" ht="12.75">
      <c r="A20" s="5" t="s">
        <v>24</v>
      </c>
      <c r="B20" s="63"/>
      <c r="C20" s="61"/>
      <c r="D20" s="62"/>
      <c r="E20" s="61"/>
      <c r="F20" s="73"/>
      <c r="G20" s="26"/>
      <c r="H20" s="116">
        <f>E9*0.15</f>
        <v>0</v>
      </c>
      <c r="I20" s="104"/>
      <c r="J20" s="6"/>
      <c r="K20" s="6">
        <f t="shared" si="0"/>
        <v>0</v>
      </c>
    </row>
    <row r="21" spans="1:11" ht="12.75">
      <c r="A21" s="5" t="s">
        <v>25</v>
      </c>
      <c r="B21" s="63"/>
      <c r="C21" s="61"/>
      <c r="D21" s="61"/>
      <c r="E21" s="61">
        <v>0</v>
      </c>
      <c r="F21" s="73"/>
      <c r="G21" s="26"/>
      <c r="H21" s="116">
        <f>E20*0.2</f>
        <v>0</v>
      </c>
      <c r="I21" s="104"/>
      <c r="J21" s="6"/>
      <c r="K21" s="6">
        <f t="shared" si="0"/>
        <v>0</v>
      </c>
    </row>
    <row r="22" spans="1:11" ht="12.75">
      <c r="A22" s="5" t="s">
        <v>26</v>
      </c>
      <c r="B22" s="63"/>
      <c r="C22" s="61"/>
      <c r="D22" s="61"/>
      <c r="E22" s="61">
        <v>0</v>
      </c>
      <c r="F22" s="73"/>
      <c r="G22" s="26"/>
      <c r="H22" s="116">
        <f>E22*0.2</f>
        <v>0</v>
      </c>
      <c r="I22" s="104"/>
      <c r="J22" s="6"/>
      <c r="K22" s="6">
        <f t="shared" si="0"/>
        <v>0</v>
      </c>
    </row>
    <row r="23" spans="1:11" ht="12.75">
      <c r="A23" s="5" t="s">
        <v>27</v>
      </c>
      <c r="B23" s="63"/>
      <c r="C23" s="61"/>
      <c r="D23" s="61"/>
      <c r="E23" s="61">
        <v>0</v>
      </c>
      <c r="F23" s="73"/>
      <c r="G23" s="26"/>
      <c r="H23" s="116">
        <f>E20*0.2</f>
        <v>0</v>
      </c>
      <c r="I23" s="104"/>
      <c r="J23" s="6"/>
      <c r="K23" s="6">
        <f t="shared" si="0"/>
        <v>0</v>
      </c>
    </row>
    <row r="24" spans="1:11" ht="12.75">
      <c r="A24" s="5" t="s">
        <v>28</v>
      </c>
      <c r="B24" s="63"/>
      <c r="C24" s="61"/>
      <c r="D24" s="61"/>
      <c r="E24" s="61">
        <v>0</v>
      </c>
      <c r="F24" s="73"/>
      <c r="G24" s="26"/>
      <c r="H24" s="116">
        <f>E9*0.15</f>
        <v>0</v>
      </c>
      <c r="I24" s="104"/>
      <c r="J24" s="6"/>
      <c r="K24" s="6">
        <f t="shared" si="0"/>
        <v>0</v>
      </c>
    </row>
    <row r="25" spans="1:11" ht="12.75">
      <c r="A25" s="5" t="s">
        <v>29</v>
      </c>
      <c r="B25" s="63"/>
      <c r="C25" s="61"/>
      <c r="D25" s="61"/>
      <c r="E25" s="61">
        <v>0</v>
      </c>
      <c r="F25" s="73"/>
      <c r="G25" s="26"/>
      <c r="H25" s="116">
        <f>E20*0.15</f>
        <v>0</v>
      </c>
      <c r="I25" s="104"/>
      <c r="J25" s="6"/>
      <c r="K25" s="6">
        <f t="shared" si="0"/>
        <v>0</v>
      </c>
    </row>
    <row r="26" spans="1:11" ht="12.75">
      <c r="A26" s="5" t="s">
        <v>30</v>
      </c>
      <c r="B26" s="63"/>
      <c r="C26" s="61"/>
      <c r="D26" s="61"/>
      <c r="E26" s="61">
        <v>0</v>
      </c>
      <c r="F26" s="73"/>
      <c r="G26" s="26"/>
      <c r="H26" s="116">
        <f>E20*0.1+E22*0.2</f>
        <v>0</v>
      </c>
      <c r="I26" s="104"/>
      <c r="J26" s="6"/>
      <c r="K26" s="6">
        <f t="shared" si="0"/>
        <v>0</v>
      </c>
    </row>
    <row r="27" spans="1:11" ht="12.75">
      <c r="A27" s="5" t="s">
        <v>31</v>
      </c>
      <c r="B27" s="63"/>
      <c r="C27" s="61"/>
      <c r="D27" s="61"/>
      <c r="E27" s="61">
        <v>0</v>
      </c>
      <c r="F27" s="73"/>
      <c r="G27" s="26"/>
      <c r="H27" s="116">
        <f>E22*0.2</f>
        <v>0</v>
      </c>
      <c r="I27" s="104"/>
      <c r="J27" s="6"/>
      <c r="K27" s="6">
        <f t="shared" si="0"/>
        <v>0</v>
      </c>
    </row>
    <row r="28" spans="1:11" ht="12.75">
      <c r="A28" s="5" t="s">
        <v>32</v>
      </c>
      <c r="B28" s="63"/>
      <c r="C28" s="61"/>
      <c r="D28" s="61"/>
      <c r="E28" s="61"/>
      <c r="F28" s="73"/>
      <c r="G28" s="26"/>
      <c r="H28" s="116">
        <f>E9*0.15</f>
        <v>0</v>
      </c>
      <c r="I28" s="104"/>
      <c r="J28" s="6"/>
      <c r="K28" s="6">
        <f t="shared" si="0"/>
        <v>0</v>
      </c>
    </row>
    <row r="29" spans="1:11" ht="12.75">
      <c r="A29" s="5" t="s">
        <v>33</v>
      </c>
      <c r="B29" s="61"/>
      <c r="C29" s="61"/>
      <c r="D29" s="62"/>
      <c r="E29" s="62"/>
      <c r="F29" s="73"/>
      <c r="G29" s="26"/>
      <c r="H29" s="116">
        <f>E28*0.2</f>
        <v>0</v>
      </c>
      <c r="I29" s="104"/>
      <c r="J29" s="6"/>
      <c r="K29" s="6">
        <f t="shared" si="0"/>
        <v>0</v>
      </c>
    </row>
    <row r="30" spans="1:11" ht="12.75">
      <c r="A30" s="5" t="s">
        <v>34</v>
      </c>
      <c r="B30" s="61"/>
      <c r="C30" s="61"/>
      <c r="D30" s="62"/>
      <c r="E30" s="62"/>
      <c r="F30" s="62"/>
      <c r="G30" s="6"/>
      <c r="H30" s="116"/>
      <c r="I30" s="104"/>
      <c r="J30" s="6"/>
      <c r="K30" s="6">
        <f t="shared" si="0"/>
        <v>0</v>
      </c>
    </row>
    <row r="31" spans="1:11" ht="12.75">
      <c r="A31" s="5" t="s">
        <v>35</v>
      </c>
      <c r="B31" s="61"/>
      <c r="C31" s="61"/>
      <c r="D31" s="62"/>
      <c r="E31" s="62"/>
      <c r="F31" s="62"/>
      <c r="G31" s="6"/>
      <c r="H31" s="116">
        <f>E28*0.2</f>
        <v>0</v>
      </c>
      <c r="I31" s="104"/>
      <c r="J31" s="6"/>
      <c r="K31" s="6">
        <f t="shared" si="0"/>
        <v>0</v>
      </c>
    </row>
    <row r="32" spans="1:11" ht="12.75">
      <c r="A32" s="5" t="s">
        <v>36</v>
      </c>
      <c r="B32" s="61"/>
      <c r="C32" s="61"/>
      <c r="D32" s="62"/>
      <c r="E32" s="62"/>
      <c r="F32" s="62"/>
      <c r="G32" s="6"/>
      <c r="H32" s="116"/>
      <c r="I32" s="104"/>
      <c r="J32" s="6"/>
      <c r="K32" s="6">
        <f t="shared" si="0"/>
        <v>0</v>
      </c>
    </row>
    <row r="33" spans="1:11" ht="12.75">
      <c r="A33" s="5" t="s">
        <v>37</v>
      </c>
      <c r="B33" s="57"/>
      <c r="C33" s="57"/>
      <c r="D33" s="58"/>
      <c r="E33" s="58"/>
      <c r="F33" s="58"/>
      <c r="G33" s="6"/>
      <c r="H33" s="116">
        <f>E28*0.2</f>
        <v>0</v>
      </c>
      <c r="I33" s="104"/>
      <c r="J33" s="6"/>
      <c r="K33" s="6">
        <f>K38</f>
        <v>0</v>
      </c>
    </row>
    <row r="34" spans="1:11" ht="12.75">
      <c r="A34" s="5" t="s">
        <v>38</v>
      </c>
      <c r="B34" s="57"/>
      <c r="C34" s="57"/>
      <c r="D34" s="58"/>
      <c r="E34" s="58"/>
      <c r="F34" s="58"/>
      <c r="G34" s="6"/>
      <c r="H34" s="116"/>
      <c r="I34" s="104"/>
      <c r="J34" s="6"/>
      <c r="K34" s="6">
        <f t="shared" si="0"/>
        <v>0</v>
      </c>
    </row>
    <row r="35" spans="1:11" ht="12.75">
      <c r="A35" s="5" t="s">
        <v>39</v>
      </c>
      <c r="B35" s="57"/>
      <c r="C35" s="57"/>
      <c r="D35" s="58"/>
      <c r="E35" s="58"/>
      <c r="F35" s="58"/>
      <c r="G35" s="6"/>
      <c r="H35" s="116">
        <f>E28*0.2</f>
        <v>0</v>
      </c>
      <c r="I35" s="104"/>
      <c r="J35" s="6"/>
      <c r="K35" s="6">
        <f t="shared" si="0"/>
        <v>0</v>
      </c>
    </row>
    <row r="36" spans="1:11" ht="12.75">
      <c r="A36" s="5" t="s">
        <v>40</v>
      </c>
      <c r="B36" s="57"/>
      <c r="C36" s="58"/>
      <c r="D36" s="58"/>
      <c r="E36" s="115"/>
      <c r="F36" s="58"/>
      <c r="G36" s="6"/>
      <c r="H36" s="116">
        <f>E9*0.2</f>
        <v>0</v>
      </c>
      <c r="I36" s="104"/>
      <c r="J36" s="6"/>
      <c r="K36" s="6">
        <f t="shared" si="0"/>
        <v>0</v>
      </c>
    </row>
    <row r="37" spans="1:11" ht="12.75">
      <c r="A37" s="5" t="s">
        <v>41</v>
      </c>
      <c r="B37" s="57"/>
      <c r="C37" s="58"/>
      <c r="D37" s="58"/>
      <c r="E37" s="58"/>
      <c r="F37" s="58"/>
      <c r="G37" s="6"/>
      <c r="H37" s="116">
        <f>E28*0.2</f>
        <v>0</v>
      </c>
      <c r="I37" s="104"/>
      <c r="J37" s="6"/>
      <c r="K37" s="6">
        <f t="shared" si="0"/>
        <v>0</v>
      </c>
    </row>
    <row r="38" spans="1:11" ht="12.75">
      <c r="A38" s="5" t="s">
        <v>42</v>
      </c>
      <c r="B38" s="57"/>
      <c r="C38" s="58"/>
      <c r="D38" s="58"/>
      <c r="E38" s="58"/>
      <c r="F38" s="58"/>
      <c r="G38" s="6"/>
      <c r="H38" s="26"/>
      <c r="I38" s="6"/>
      <c r="J38" s="6"/>
      <c r="K38" s="6">
        <f>H36/2</f>
        <v>0</v>
      </c>
    </row>
    <row r="39" spans="1:11" ht="12.75">
      <c r="A39" s="5" t="s">
        <v>43</v>
      </c>
      <c r="B39" s="57"/>
      <c r="C39" s="58"/>
      <c r="D39" s="58"/>
      <c r="E39" s="58"/>
      <c r="F39" s="58"/>
      <c r="H39" s="6"/>
      <c r="J39" s="6"/>
      <c r="K39" s="6">
        <f t="shared" si="0"/>
        <v>0</v>
      </c>
    </row>
    <row r="40" spans="1:11" ht="12.75">
      <c r="A40" s="5"/>
      <c r="B40" s="6"/>
      <c r="G40" s="6"/>
      <c r="I40" s="6"/>
      <c r="J40" s="6"/>
      <c r="K40" s="6"/>
    </row>
    <row r="41" spans="8:11" ht="12.75">
      <c r="H41" s="6"/>
      <c r="J41" s="6"/>
      <c r="K41" s="6"/>
    </row>
    <row r="42" ht="12.75">
      <c r="K42" s="6"/>
    </row>
    <row r="44" ht="12.75">
      <c r="A44" t="s">
        <v>58</v>
      </c>
    </row>
    <row r="46" spans="1:11" ht="38.25">
      <c r="A46" s="4" t="s">
        <v>4</v>
      </c>
      <c r="B46" s="4" t="s">
        <v>5</v>
      </c>
      <c r="C46" s="4" t="s">
        <v>6</v>
      </c>
      <c r="D46" s="4" t="s">
        <v>7</v>
      </c>
      <c r="E46" s="12" t="s">
        <v>137</v>
      </c>
      <c r="F46" s="12" t="s">
        <v>139</v>
      </c>
      <c r="G46" s="12" t="s">
        <v>138</v>
      </c>
      <c r="H46" s="12" t="s">
        <v>141</v>
      </c>
      <c r="I46" s="12" t="s">
        <v>142</v>
      </c>
      <c r="J46" s="12" t="s">
        <v>147</v>
      </c>
      <c r="K46" s="12" t="s">
        <v>145</v>
      </c>
    </row>
    <row r="47" spans="1:11" ht="12.75">
      <c r="A47" s="5" t="s">
        <v>8</v>
      </c>
      <c r="B47">
        <v>0</v>
      </c>
      <c r="C47" s="6">
        <v>0</v>
      </c>
      <c r="D47" s="6">
        <v>0</v>
      </c>
      <c r="E47" s="6"/>
      <c r="F47" s="6"/>
      <c r="G47" s="6">
        <f>G4</f>
        <v>0</v>
      </c>
      <c r="H47" s="6"/>
      <c r="I47" s="6"/>
      <c r="J47" s="6">
        <f>J4</f>
        <v>0</v>
      </c>
      <c r="K47" s="6"/>
    </row>
    <row r="48" spans="1:11" ht="12.75">
      <c r="A48" s="5" t="s">
        <v>9</v>
      </c>
      <c r="B48">
        <v>0</v>
      </c>
      <c r="C48" s="6">
        <v>0</v>
      </c>
      <c r="D48" s="6">
        <v>0</v>
      </c>
      <c r="E48" s="6"/>
      <c r="F48" s="6"/>
      <c r="G48" s="6">
        <f>G47+G5</f>
        <v>0</v>
      </c>
      <c r="H48" s="6"/>
      <c r="I48" s="6"/>
      <c r="J48" s="6">
        <f>J47+J5</f>
        <v>0</v>
      </c>
      <c r="K48" s="6"/>
    </row>
    <row r="49" spans="1:11" ht="12.75">
      <c r="A49" s="5" t="s">
        <v>10</v>
      </c>
      <c r="B49">
        <v>0</v>
      </c>
      <c r="C49" s="6">
        <v>0</v>
      </c>
      <c r="D49" s="6">
        <v>0</v>
      </c>
      <c r="E49" s="6"/>
      <c r="F49" s="6"/>
      <c r="G49" s="6">
        <f>G48+G6</f>
        <v>0</v>
      </c>
      <c r="H49" s="6"/>
      <c r="I49" s="6"/>
      <c r="J49" s="6">
        <f>J48+J6</f>
        <v>0</v>
      </c>
      <c r="K49" s="6"/>
    </row>
    <row r="50" spans="1:11" ht="12.75">
      <c r="A50" s="5" t="s">
        <v>11</v>
      </c>
      <c r="B50" s="6"/>
      <c r="C50" s="6"/>
      <c r="D50" s="6"/>
      <c r="E50" s="6"/>
      <c r="F50" s="6"/>
      <c r="G50" s="6">
        <f>G49+G7</f>
        <v>0</v>
      </c>
      <c r="H50" s="6"/>
      <c r="I50" s="6"/>
      <c r="J50" s="6">
        <f>J49+J7</f>
        <v>0</v>
      </c>
      <c r="K50" s="6"/>
    </row>
    <row r="51" spans="1:11" ht="12.75">
      <c r="A51" s="5" t="s">
        <v>12</v>
      </c>
      <c r="B51" s="6"/>
      <c r="C51" s="6"/>
      <c r="D51" s="6"/>
      <c r="E51" s="6">
        <f aca="true" t="shared" si="1" ref="E51:E82">E50+E8</f>
        <v>0</v>
      </c>
      <c r="F51" s="6"/>
      <c r="G51" s="6">
        <f>G50+G8</f>
        <v>0</v>
      </c>
      <c r="H51" s="6"/>
      <c r="I51" s="6"/>
      <c r="J51" s="6">
        <f>J50+J8</f>
        <v>0</v>
      </c>
      <c r="K51" s="6"/>
    </row>
    <row r="52" spans="1:11" ht="12.75">
      <c r="A52" s="5" t="s">
        <v>13</v>
      </c>
      <c r="B52" s="6"/>
      <c r="C52" s="6"/>
      <c r="D52" s="6"/>
      <c r="E52" s="6">
        <f t="shared" si="1"/>
        <v>0</v>
      </c>
      <c r="F52" s="6"/>
      <c r="G52" s="6">
        <f>G51+G9</f>
        <v>0</v>
      </c>
      <c r="H52" s="6">
        <f>H51+H10</f>
        <v>0</v>
      </c>
      <c r="I52" s="6"/>
      <c r="J52" s="6">
        <f>J51+J9</f>
        <v>0</v>
      </c>
      <c r="K52" s="6"/>
    </row>
    <row r="53" spans="1:11" ht="12.75">
      <c r="A53" s="5" t="s">
        <v>14</v>
      </c>
      <c r="B53" s="6"/>
      <c r="C53" s="6"/>
      <c r="D53" s="6"/>
      <c r="E53" s="6">
        <f t="shared" si="1"/>
        <v>0</v>
      </c>
      <c r="F53" s="6"/>
      <c r="G53" s="6"/>
      <c r="H53" s="6">
        <f>H52+H10</f>
        <v>0</v>
      </c>
      <c r="I53" s="6"/>
      <c r="J53" s="6"/>
      <c r="K53" s="6">
        <f aca="true" t="shared" si="2" ref="K53:K82">K52+K10</f>
        <v>0</v>
      </c>
    </row>
    <row r="54" spans="1:11" ht="12.75">
      <c r="A54" s="5" t="s">
        <v>15</v>
      </c>
      <c r="B54" s="6"/>
      <c r="C54" s="6"/>
      <c r="D54" s="6"/>
      <c r="E54" s="6">
        <f t="shared" si="1"/>
        <v>398553</v>
      </c>
      <c r="F54" s="6"/>
      <c r="G54" s="6"/>
      <c r="H54" s="6">
        <f>H53+H13</f>
        <v>0</v>
      </c>
      <c r="I54" s="6"/>
      <c r="J54" s="6"/>
      <c r="K54" s="6">
        <f t="shared" si="2"/>
        <v>0</v>
      </c>
    </row>
    <row r="55" spans="1:11" ht="12.75">
      <c r="A55" s="5" t="s">
        <v>16</v>
      </c>
      <c r="B55" s="6"/>
      <c r="C55" s="6"/>
      <c r="D55" s="6"/>
      <c r="E55" s="6">
        <f t="shared" si="1"/>
        <v>398553</v>
      </c>
      <c r="F55" s="6"/>
      <c r="G55" s="6"/>
      <c r="H55" s="6">
        <f aca="true" t="shared" si="3" ref="H55:H82">H54+H14</f>
        <v>398553</v>
      </c>
      <c r="I55" s="6"/>
      <c r="J55" s="6"/>
      <c r="K55" s="6">
        <f t="shared" si="2"/>
        <v>0</v>
      </c>
    </row>
    <row r="56" spans="1:11" ht="12.75">
      <c r="A56" s="5" t="s">
        <v>17</v>
      </c>
      <c r="B56" s="6"/>
      <c r="C56" s="6"/>
      <c r="D56" s="6"/>
      <c r="E56" s="6">
        <f t="shared" si="1"/>
        <v>398553</v>
      </c>
      <c r="F56" s="6"/>
      <c r="G56" s="6"/>
      <c r="H56" s="6">
        <f t="shared" si="3"/>
        <v>398553</v>
      </c>
      <c r="I56" s="6"/>
      <c r="J56" s="6"/>
      <c r="K56" s="6">
        <f t="shared" si="2"/>
        <v>0</v>
      </c>
    </row>
    <row r="57" spans="1:11" ht="12.75">
      <c r="A57" s="5" t="s">
        <v>18</v>
      </c>
      <c r="B57" s="6"/>
      <c r="C57" s="6"/>
      <c r="D57" s="6"/>
      <c r="E57" s="6">
        <f t="shared" si="1"/>
        <v>398553</v>
      </c>
      <c r="F57" s="6"/>
      <c r="G57" s="6"/>
      <c r="H57" s="6">
        <f t="shared" si="3"/>
        <v>398553</v>
      </c>
      <c r="I57" s="6"/>
      <c r="J57" s="6"/>
      <c r="K57" s="6">
        <f t="shared" si="2"/>
        <v>0</v>
      </c>
    </row>
    <row r="58" spans="1:11" ht="12.75">
      <c r="A58" s="5" t="s">
        <v>19</v>
      </c>
      <c r="B58" s="6"/>
      <c r="C58" s="6"/>
      <c r="D58" s="6"/>
      <c r="E58" s="6">
        <f t="shared" si="1"/>
        <v>398553</v>
      </c>
      <c r="F58" s="6"/>
      <c r="G58" s="6"/>
      <c r="H58" s="6">
        <f t="shared" si="3"/>
        <v>398553</v>
      </c>
      <c r="I58" s="6"/>
      <c r="J58" s="6"/>
      <c r="K58" s="6">
        <f t="shared" si="2"/>
        <v>0</v>
      </c>
    </row>
    <row r="59" spans="1:11" ht="12.75">
      <c r="A59" s="5" t="s">
        <v>20</v>
      </c>
      <c r="B59" s="6"/>
      <c r="C59" s="6"/>
      <c r="D59" s="6"/>
      <c r="E59" s="6">
        <f t="shared" si="1"/>
        <v>398553</v>
      </c>
      <c r="F59" s="6"/>
      <c r="G59" s="6"/>
      <c r="H59" s="6">
        <f t="shared" si="3"/>
        <v>398553</v>
      </c>
      <c r="I59" s="6"/>
      <c r="J59" s="6"/>
      <c r="K59" s="6">
        <f t="shared" si="2"/>
        <v>398553</v>
      </c>
    </row>
    <row r="60" spans="1:11" ht="12.75">
      <c r="A60" s="5" t="s">
        <v>21</v>
      </c>
      <c r="B60" s="6"/>
      <c r="C60" s="6"/>
      <c r="D60" s="6"/>
      <c r="E60" s="6">
        <f t="shared" si="1"/>
        <v>398553</v>
      </c>
      <c r="F60" s="6"/>
      <c r="G60" s="6"/>
      <c r="H60" s="6">
        <f t="shared" si="3"/>
        <v>398553</v>
      </c>
      <c r="I60" s="6"/>
      <c r="J60" s="6"/>
      <c r="K60" s="6">
        <f t="shared" si="2"/>
        <v>398553</v>
      </c>
    </row>
    <row r="61" spans="1:11" ht="12.75">
      <c r="A61" s="5" t="s">
        <v>22</v>
      </c>
      <c r="B61" s="6"/>
      <c r="C61" s="6"/>
      <c r="D61" s="6"/>
      <c r="E61" s="6">
        <f t="shared" si="1"/>
        <v>398553</v>
      </c>
      <c r="F61" s="6"/>
      <c r="G61" s="6"/>
      <c r="H61" s="6">
        <f t="shared" si="3"/>
        <v>398553</v>
      </c>
      <c r="I61" s="6"/>
      <c r="J61" s="6"/>
      <c r="K61" s="6">
        <f t="shared" si="2"/>
        <v>398553</v>
      </c>
    </row>
    <row r="62" spans="1:11" ht="12.75">
      <c r="A62" s="5" t="s">
        <v>23</v>
      </c>
      <c r="B62" s="6"/>
      <c r="C62" s="6"/>
      <c r="D62" s="6"/>
      <c r="E62" s="6">
        <f t="shared" si="1"/>
        <v>398553</v>
      </c>
      <c r="F62" s="6"/>
      <c r="G62" s="6"/>
      <c r="H62" s="6">
        <f t="shared" si="3"/>
        <v>398553</v>
      </c>
      <c r="I62" s="6"/>
      <c r="J62" s="6"/>
      <c r="K62" s="6">
        <f t="shared" si="2"/>
        <v>398553</v>
      </c>
    </row>
    <row r="63" spans="1:11" ht="12.75">
      <c r="A63" s="5" t="s">
        <v>24</v>
      </c>
      <c r="B63" s="6"/>
      <c r="C63" s="6"/>
      <c r="D63" s="6"/>
      <c r="E63" s="6">
        <f t="shared" si="1"/>
        <v>398553</v>
      </c>
      <c r="F63" s="6"/>
      <c r="G63" s="6"/>
      <c r="H63" s="6">
        <f t="shared" si="3"/>
        <v>398553</v>
      </c>
      <c r="I63" s="6"/>
      <c r="J63" s="6"/>
      <c r="K63" s="6">
        <f t="shared" si="2"/>
        <v>398553</v>
      </c>
    </row>
    <row r="64" spans="1:11" ht="12.75">
      <c r="A64" s="5" t="s">
        <v>25</v>
      </c>
      <c r="B64" s="6"/>
      <c r="C64" s="6"/>
      <c r="D64" s="6"/>
      <c r="E64" s="6">
        <f t="shared" si="1"/>
        <v>398553</v>
      </c>
      <c r="F64" s="6"/>
      <c r="G64" s="6"/>
      <c r="H64" s="6">
        <f t="shared" si="3"/>
        <v>398553</v>
      </c>
      <c r="I64" s="6"/>
      <c r="J64" s="6"/>
      <c r="K64" s="6">
        <f t="shared" si="2"/>
        <v>398553</v>
      </c>
    </row>
    <row r="65" spans="1:11" ht="12.75">
      <c r="A65" s="5" t="s">
        <v>26</v>
      </c>
      <c r="B65" s="6"/>
      <c r="C65" s="6"/>
      <c r="D65" s="6"/>
      <c r="E65" s="6">
        <f t="shared" si="1"/>
        <v>398553</v>
      </c>
      <c r="F65" s="6"/>
      <c r="G65" s="6"/>
      <c r="H65" s="6">
        <f t="shared" si="3"/>
        <v>398553</v>
      </c>
      <c r="I65" s="6"/>
      <c r="J65" s="6"/>
      <c r="K65" s="6">
        <f t="shared" si="2"/>
        <v>398553</v>
      </c>
    </row>
    <row r="66" spans="1:11" ht="12.75">
      <c r="A66" s="5" t="s">
        <v>27</v>
      </c>
      <c r="B66" s="6"/>
      <c r="C66" s="6"/>
      <c r="D66" s="6"/>
      <c r="E66" s="6">
        <f t="shared" si="1"/>
        <v>398553</v>
      </c>
      <c r="F66" s="6"/>
      <c r="G66" s="6"/>
      <c r="H66" s="6">
        <f t="shared" si="3"/>
        <v>398553</v>
      </c>
      <c r="I66" s="6"/>
      <c r="J66" s="6"/>
      <c r="K66" s="6">
        <f t="shared" si="2"/>
        <v>398553</v>
      </c>
    </row>
    <row r="67" spans="1:11" ht="12.75">
      <c r="A67" s="5" t="s">
        <v>28</v>
      </c>
      <c r="E67" s="6">
        <f t="shared" si="1"/>
        <v>398553</v>
      </c>
      <c r="G67" s="6"/>
      <c r="H67" s="6">
        <f t="shared" si="3"/>
        <v>398553</v>
      </c>
      <c r="I67" s="6"/>
      <c r="J67" s="6"/>
      <c r="K67" s="6">
        <f t="shared" si="2"/>
        <v>398553</v>
      </c>
    </row>
    <row r="68" spans="1:11" ht="12.75">
      <c r="A68" s="5" t="s">
        <v>29</v>
      </c>
      <c r="E68" s="6">
        <f t="shared" si="1"/>
        <v>398553</v>
      </c>
      <c r="G68" s="6"/>
      <c r="H68" s="6">
        <f t="shared" si="3"/>
        <v>398553</v>
      </c>
      <c r="I68" s="6"/>
      <c r="J68" s="6"/>
      <c r="K68" s="6">
        <f t="shared" si="2"/>
        <v>398553</v>
      </c>
    </row>
    <row r="69" spans="1:11" ht="12.75">
      <c r="A69" s="5" t="s">
        <v>30</v>
      </c>
      <c r="E69" s="6">
        <f t="shared" si="1"/>
        <v>398553</v>
      </c>
      <c r="G69" s="6"/>
      <c r="H69" s="6">
        <f t="shared" si="3"/>
        <v>398553</v>
      </c>
      <c r="I69" s="6"/>
      <c r="J69" s="6"/>
      <c r="K69" s="6">
        <f t="shared" si="2"/>
        <v>398553</v>
      </c>
    </row>
    <row r="70" spans="1:11" ht="12.75">
      <c r="A70" s="5" t="s">
        <v>31</v>
      </c>
      <c r="E70" s="6">
        <f t="shared" si="1"/>
        <v>398553</v>
      </c>
      <c r="G70" s="6"/>
      <c r="H70" s="6">
        <f t="shared" si="3"/>
        <v>398553</v>
      </c>
      <c r="I70" s="6"/>
      <c r="J70" s="6"/>
      <c r="K70" s="6">
        <f t="shared" si="2"/>
        <v>398553</v>
      </c>
    </row>
    <row r="71" spans="1:11" ht="12.75">
      <c r="A71" s="5" t="s">
        <v>32</v>
      </c>
      <c r="E71" s="6">
        <f t="shared" si="1"/>
        <v>398553</v>
      </c>
      <c r="G71" s="6"/>
      <c r="H71" s="6">
        <f t="shared" si="3"/>
        <v>398553</v>
      </c>
      <c r="I71" s="6"/>
      <c r="J71" s="6"/>
      <c r="K71" s="6">
        <f t="shared" si="2"/>
        <v>398553</v>
      </c>
    </row>
    <row r="72" spans="1:11" ht="12.75">
      <c r="A72" s="5" t="s">
        <v>33</v>
      </c>
      <c r="E72" s="6">
        <f t="shared" si="1"/>
        <v>398553</v>
      </c>
      <c r="G72" s="6"/>
      <c r="H72" s="6">
        <f t="shared" si="3"/>
        <v>398553</v>
      </c>
      <c r="I72" s="6"/>
      <c r="J72" s="6"/>
      <c r="K72" s="6">
        <f t="shared" si="2"/>
        <v>398553</v>
      </c>
    </row>
    <row r="73" spans="1:11" ht="12.75">
      <c r="A73" s="5" t="s">
        <v>34</v>
      </c>
      <c r="E73" s="6">
        <f t="shared" si="1"/>
        <v>398553</v>
      </c>
      <c r="G73" s="6"/>
      <c r="H73" s="6">
        <f t="shared" si="3"/>
        <v>398553</v>
      </c>
      <c r="I73" s="6"/>
      <c r="J73" s="6"/>
      <c r="K73" s="6">
        <f t="shared" si="2"/>
        <v>398553</v>
      </c>
    </row>
    <row r="74" spans="1:11" ht="12.75">
      <c r="A74" s="5" t="s">
        <v>35</v>
      </c>
      <c r="E74" s="6">
        <f t="shared" si="1"/>
        <v>398553</v>
      </c>
      <c r="G74" s="6"/>
      <c r="H74" s="6">
        <f t="shared" si="3"/>
        <v>398553</v>
      </c>
      <c r="I74" s="6"/>
      <c r="J74" s="6"/>
      <c r="K74" s="6">
        <f t="shared" si="2"/>
        <v>398553</v>
      </c>
    </row>
    <row r="75" spans="1:11" ht="12.75">
      <c r="A75" s="5" t="s">
        <v>36</v>
      </c>
      <c r="E75" s="6">
        <f t="shared" si="1"/>
        <v>398553</v>
      </c>
      <c r="G75" s="6"/>
      <c r="H75" s="6">
        <f t="shared" si="3"/>
        <v>398553</v>
      </c>
      <c r="I75" s="6"/>
      <c r="J75" s="6"/>
      <c r="K75" s="6">
        <f t="shared" si="2"/>
        <v>398553</v>
      </c>
    </row>
    <row r="76" spans="1:11" ht="12.75">
      <c r="A76" s="5" t="s">
        <v>37</v>
      </c>
      <c r="E76" s="6">
        <f t="shared" si="1"/>
        <v>398553</v>
      </c>
      <c r="G76" s="6"/>
      <c r="H76" s="6">
        <f t="shared" si="3"/>
        <v>398553</v>
      </c>
      <c r="I76" s="6"/>
      <c r="J76" s="6"/>
      <c r="K76" s="6">
        <f t="shared" si="2"/>
        <v>398553</v>
      </c>
    </row>
    <row r="77" spans="1:11" ht="12.75">
      <c r="A77" s="5" t="s">
        <v>38</v>
      </c>
      <c r="E77" s="6">
        <f t="shared" si="1"/>
        <v>398553</v>
      </c>
      <c r="G77" s="6"/>
      <c r="H77" s="6">
        <f t="shared" si="3"/>
        <v>398553</v>
      </c>
      <c r="I77" s="6"/>
      <c r="J77" s="6"/>
      <c r="K77" s="6">
        <f t="shared" si="2"/>
        <v>398553</v>
      </c>
    </row>
    <row r="78" spans="1:11" ht="12.75">
      <c r="A78" s="5" t="s">
        <v>39</v>
      </c>
      <c r="E78" s="6">
        <f t="shared" si="1"/>
        <v>398553</v>
      </c>
      <c r="G78" s="6"/>
      <c r="H78" s="6">
        <f t="shared" si="3"/>
        <v>398553</v>
      </c>
      <c r="I78" s="6"/>
      <c r="J78" s="6"/>
      <c r="K78" s="6">
        <f t="shared" si="2"/>
        <v>398553</v>
      </c>
    </row>
    <row r="79" spans="1:11" ht="12.75">
      <c r="A79" s="5" t="s">
        <v>40</v>
      </c>
      <c r="E79" s="6">
        <f t="shared" si="1"/>
        <v>398553</v>
      </c>
      <c r="G79" s="6"/>
      <c r="H79" s="6">
        <f t="shared" si="3"/>
        <v>398553</v>
      </c>
      <c r="I79" s="6"/>
      <c r="J79" s="6"/>
      <c r="K79" s="6">
        <f t="shared" si="2"/>
        <v>398553</v>
      </c>
    </row>
    <row r="80" spans="1:11" ht="12.75">
      <c r="A80" s="5" t="s">
        <v>41</v>
      </c>
      <c r="E80" s="6">
        <f t="shared" si="1"/>
        <v>398553</v>
      </c>
      <c r="G80" s="6"/>
      <c r="H80" s="6">
        <f t="shared" si="3"/>
        <v>398553</v>
      </c>
      <c r="I80" s="6"/>
      <c r="J80" s="6"/>
      <c r="K80" s="6">
        <f t="shared" si="2"/>
        <v>398553</v>
      </c>
    </row>
    <row r="81" spans="1:11" ht="12.75">
      <c r="A81" s="5" t="s">
        <v>42</v>
      </c>
      <c r="E81" s="6">
        <f t="shared" si="1"/>
        <v>398553</v>
      </c>
      <c r="G81" s="6"/>
      <c r="H81" s="6">
        <f t="shared" si="3"/>
        <v>398553</v>
      </c>
      <c r="I81" s="6"/>
      <c r="J81" s="6"/>
      <c r="K81" s="6">
        <f t="shared" si="2"/>
        <v>398553</v>
      </c>
    </row>
    <row r="82" spans="1:11" ht="12.75">
      <c r="A82" s="5" t="s">
        <v>43</v>
      </c>
      <c r="E82" s="6">
        <f t="shared" si="1"/>
        <v>398553</v>
      </c>
      <c r="G82" s="6"/>
      <c r="H82" s="6">
        <f t="shared" si="3"/>
        <v>398553</v>
      </c>
      <c r="I82" s="6"/>
      <c r="J82" s="6"/>
      <c r="K82" s="6">
        <f t="shared" si="2"/>
        <v>398553</v>
      </c>
    </row>
  </sheetData>
  <mergeCells count="1">
    <mergeCell ref="A1:K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55">
      <selection activeCell="H17" sqref="H17"/>
    </sheetView>
  </sheetViews>
  <sheetFormatPr defaultColWidth="9.140625" defaultRowHeight="12.75"/>
  <cols>
    <col min="2" max="2" width="12.57421875" style="0" bestFit="1" customWidth="1"/>
    <col min="3" max="3" width="13.7109375" style="0" bestFit="1" customWidth="1"/>
    <col min="4" max="4" width="14.57421875" style="0" bestFit="1" customWidth="1"/>
    <col min="5" max="5" width="13.28125" style="0" customWidth="1"/>
    <col min="6" max="6" width="11.7109375" style="0" customWidth="1"/>
    <col min="7" max="7" width="13.7109375" style="0" customWidth="1"/>
    <col min="8" max="8" width="11.28125" style="0" customWidth="1"/>
    <col min="9" max="9" width="12.00390625" style="0" customWidth="1"/>
    <col min="10" max="10" width="11.8515625" style="0" customWidth="1"/>
    <col min="11" max="11" width="12.8515625" style="0" customWidth="1"/>
  </cols>
  <sheetData>
    <row r="1" spans="1:11" ht="12.75">
      <c r="A1" s="160" t="s">
        <v>191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41.25" customHeight="1">
      <c r="A3" s="4" t="s">
        <v>4</v>
      </c>
      <c r="B3" s="4" t="s">
        <v>5</v>
      </c>
      <c r="C3" s="4" t="s">
        <v>6</v>
      </c>
      <c r="D3" s="4" t="s">
        <v>7</v>
      </c>
      <c r="E3" s="12" t="s">
        <v>137</v>
      </c>
      <c r="F3" s="12" t="s">
        <v>139</v>
      </c>
      <c r="G3" s="12" t="s">
        <v>138</v>
      </c>
      <c r="H3" s="12" t="s">
        <v>141</v>
      </c>
      <c r="I3" s="12" t="s">
        <v>142</v>
      </c>
      <c r="J3" s="12" t="s">
        <v>147</v>
      </c>
      <c r="K3" s="12" t="s">
        <v>145</v>
      </c>
    </row>
    <row r="4" spans="1:11" ht="12.75">
      <c r="A4" s="5" t="s">
        <v>8</v>
      </c>
      <c r="B4" s="6"/>
      <c r="C4" s="6"/>
      <c r="D4" s="6"/>
      <c r="E4" s="6"/>
      <c r="F4" s="6"/>
      <c r="G4" s="45">
        <v>0</v>
      </c>
      <c r="H4" s="45"/>
      <c r="I4" s="45"/>
      <c r="J4" s="6">
        <v>0</v>
      </c>
      <c r="K4" s="6"/>
    </row>
    <row r="5" spans="1:11" ht="12.75">
      <c r="A5" s="5" t="s">
        <v>9</v>
      </c>
      <c r="B5" s="6"/>
      <c r="C5" s="6"/>
      <c r="D5" s="6"/>
      <c r="E5" s="6"/>
      <c r="F5" s="6"/>
      <c r="G5" s="45">
        <v>0</v>
      </c>
      <c r="H5" s="45"/>
      <c r="I5" s="45"/>
      <c r="J5" s="6">
        <v>0</v>
      </c>
      <c r="K5" s="6"/>
    </row>
    <row r="6" spans="1:11" ht="12.75">
      <c r="A6" s="5" t="s">
        <v>10</v>
      </c>
      <c r="B6" s="6"/>
      <c r="C6" s="6"/>
      <c r="D6" s="6"/>
      <c r="E6" s="6"/>
      <c r="F6" s="6"/>
      <c r="G6" s="45">
        <v>0</v>
      </c>
      <c r="H6" s="45"/>
      <c r="I6" s="45"/>
      <c r="J6" s="6">
        <v>0</v>
      </c>
      <c r="K6" s="6"/>
    </row>
    <row r="7" spans="1:11" ht="12.75">
      <c r="A7" s="5" t="s">
        <v>11</v>
      </c>
      <c r="B7" s="6"/>
      <c r="C7" s="6"/>
      <c r="D7" s="6"/>
      <c r="E7" s="6"/>
      <c r="F7" s="6"/>
      <c r="G7" s="26">
        <v>0</v>
      </c>
      <c r="H7" s="26"/>
      <c r="I7" s="26"/>
      <c r="J7" s="6">
        <v>0</v>
      </c>
      <c r="K7" s="6"/>
    </row>
    <row r="8" spans="1:11" ht="12.75">
      <c r="A8" s="5" t="s">
        <v>12</v>
      </c>
      <c r="B8" s="63"/>
      <c r="C8" s="61"/>
      <c r="D8" s="61"/>
      <c r="E8" s="61"/>
      <c r="F8" s="73"/>
      <c r="G8" s="26"/>
      <c r="H8" s="26"/>
      <c r="I8" s="104"/>
      <c r="J8" s="6"/>
      <c r="K8" s="6"/>
    </row>
    <row r="9" spans="1:11" ht="12.75">
      <c r="A9" s="5" t="s">
        <v>13</v>
      </c>
      <c r="B9" s="63"/>
      <c r="C9" s="61"/>
      <c r="D9" s="61"/>
      <c r="E9" s="61"/>
      <c r="F9" s="73"/>
      <c r="G9" s="26"/>
      <c r="H9" s="116"/>
      <c r="I9" s="104"/>
      <c r="J9" s="6"/>
      <c r="K9" s="6"/>
    </row>
    <row r="10" spans="1:11" ht="12.75">
      <c r="A10" s="5" t="s">
        <v>14</v>
      </c>
      <c r="B10" s="63"/>
      <c r="C10" s="61"/>
      <c r="D10" s="61"/>
      <c r="E10" s="61">
        <v>0</v>
      </c>
      <c r="F10" s="73"/>
      <c r="G10" s="26"/>
      <c r="H10" s="116"/>
      <c r="I10" s="104"/>
      <c r="J10" s="6"/>
      <c r="K10" s="6"/>
    </row>
    <row r="11" spans="1:11" ht="12.75">
      <c r="A11" s="5" t="s">
        <v>15</v>
      </c>
      <c r="B11" s="63"/>
      <c r="C11" s="61"/>
      <c r="D11" s="61"/>
      <c r="E11" s="61"/>
      <c r="F11" s="73"/>
      <c r="G11" s="26"/>
      <c r="I11" s="104"/>
      <c r="J11" s="6"/>
      <c r="K11" s="6"/>
    </row>
    <row r="12" spans="1:11" ht="12.75">
      <c r="A12" s="5" t="s">
        <v>16</v>
      </c>
      <c r="B12" s="63"/>
      <c r="C12" s="61"/>
      <c r="D12" s="61"/>
      <c r="E12" s="61"/>
      <c r="F12" s="73"/>
      <c r="G12" s="26"/>
      <c r="I12" s="104"/>
      <c r="J12" s="6"/>
      <c r="K12" s="6">
        <v>0</v>
      </c>
    </row>
    <row r="13" spans="1:11" ht="12.75">
      <c r="A13" s="5" t="s">
        <v>17</v>
      </c>
      <c r="B13" s="63"/>
      <c r="C13" s="61"/>
      <c r="D13" s="61"/>
      <c r="E13" s="61">
        <v>0</v>
      </c>
      <c r="F13" s="73"/>
      <c r="G13" s="26"/>
      <c r="H13" s="116">
        <f>E9*0.2</f>
        <v>0</v>
      </c>
      <c r="I13" s="104"/>
      <c r="J13" s="6"/>
      <c r="K13" s="6"/>
    </row>
    <row r="14" spans="1:11" ht="12.75">
      <c r="A14" s="5" t="s">
        <v>18</v>
      </c>
      <c r="B14" s="63"/>
      <c r="C14" s="61"/>
      <c r="D14" s="61"/>
      <c r="E14" s="61">
        <v>0</v>
      </c>
      <c r="F14" s="73"/>
      <c r="G14" s="26"/>
      <c r="H14" s="116">
        <f>E11</f>
        <v>0</v>
      </c>
      <c r="I14" s="104"/>
      <c r="J14" s="6"/>
      <c r="K14" s="6"/>
    </row>
    <row r="15" spans="1:11" ht="12.75">
      <c r="A15" s="5" t="s">
        <v>19</v>
      </c>
      <c r="B15" s="63"/>
      <c r="C15" s="61"/>
      <c r="D15" s="61"/>
      <c r="E15" s="61">
        <v>0</v>
      </c>
      <c r="F15" s="73"/>
      <c r="G15" s="26"/>
      <c r="H15" s="116">
        <f>$E$15*0.25</f>
        <v>0</v>
      </c>
      <c r="I15" s="104"/>
      <c r="J15" s="6"/>
      <c r="K15" s="6">
        <f>H13</f>
        <v>0</v>
      </c>
    </row>
    <row r="16" spans="1:11" ht="12.75">
      <c r="A16" s="5" t="s">
        <v>20</v>
      </c>
      <c r="B16" s="63"/>
      <c r="C16" s="61"/>
      <c r="D16" s="61"/>
      <c r="E16" s="61">
        <v>0</v>
      </c>
      <c r="F16" s="73"/>
      <c r="G16" s="26"/>
      <c r="H16" s="116">
        <f>E9*0.15</f>
        <v>0</v>
      </c>
      <c r="I16" s="104"/>
      <c r="J16" s="6"/>
      <c r="K16" s="6">
        <f aca="true" t="shared" si="0" ref="K16:K39">H14</f>
        <v>0</v>
      </c>
    </row>
    <row r="17" spans="1:11" ht="12.75">
      <c r="A17" s="5" t="s">
        <v>21</v>
      </c>
      <c r="B17" s="63"/>
      <c r="C17" s="61"/>
      <c r="D17" s="61"/>
      <c r="E17" s="61">
        <v>0</v>
      </c>
      <c r="F17" s="73"/>
      <c r="G17" s="26"/>
      <c r="H17" s="116">
        <f>$E$15*0.2</f>
        <v>0</v>
      </c>
      <c r="I17" s="104"/>
      <c r="J17" s="6"/>
      <c r="K17" s="6">
        <f t="shared" si="0"/>
        <v>0</v>
      </c>
    </row>
    <row r="18" spans="1:11" ht="12.75">
      <c r="A18" s="5" t="s">
        <v>22</v>
      </c>
      <c r="B18" s="63"/>
      <c r="C18" s="61"/>
      <c r="D18" s="61"/>
      <c r="E18" s="61">
        <v>0</v>
      </c>
      <c r="F18" s="73"/>
      <c r="G18" s="26"/>
      <c r="H18" s="116">
        <f>$E$15*0.05</f>
        <v>0</v>
      </c>
      <c r="I18" s="104"/>
      <c r="J18" s="6"/>
      <c r="K18" s="6">
        <f t="shared" si="0"/>
        <v>0</v>
      </c>
    </row>
    <row r="19" spans="1:11" ht="12.75">
      <c r="A19" s="5" t="s">
        <v>23</v>
      </c>
      <c r="B19" s="63"/>
      <c r="C19" s="61"/>
      <c r="D19" s="61"/>
      <c r="E19" s="61">
        <v>0</v>
      </c>
      <c r="F19" s="73"/>
      <c r="G19" s="26"/>
      <c r="H19" s="116">
        <f>E12*0.1</f>
        <v>0</v>
      </c>
      <c r="I19" s="104"/>
      <c r="J19" s="6"/>
      <c r="K19" s="6">
        <f t="shared" si="0"/>
        <v>0</v>
      </c>
    </row>
    <row r="20" spans="1:11" ht="12.75">
      <c r="A20" s="5" t="s">
        <v>24</v>
      </c>
      <c r="B20" s="63"/>
      <c r="C20" s="61"/>
      <c r="D20" s="62"/>
      <c r="E20" s="61"/>
      <c r="F20" s="73"/>
      <c r="G20" s="26"/>
      <c r="H20" s="116">
        <f>E9*0.15</f>
        <v>0</v>
      </c>
      <c r="I20" s="104"/>
      <c r="J20" s="6"/>
      <c r="K20" s="6">
        <f t="shared" si="0"/>
        <v>0</v>
      </c>
    </row>
    <row r="21" spans="1:11" ht="12.75">
      <c r="A21" s="5" t="s">
        <v>25</v>
      </c>
      <c r="B21" s="63"/>
      <c r="C21" s="61"/>
      <c r="D21" s="61"/>
      <c r="E21" s="61">
        <v>354853.41300624236</v>
      </c>
      <c r="F21" s="73"/>
      <c r="G21" s="26"/>
      <c r="H21" s="116">
        <f>E20*0.2</f>
        <v>0</v>
      </c>
      <c r="I21" s="104"/>
      <c r="J21" s="6"/>
      <c r="K21" s="6">
        <f t="shared" si="0"/>
        <v>0</v>
      </c>
    </row>
    <row r="22" spans="1:11" ht="12.75">
      <c r="A22" s="5" t="s">
        <v>26</v>
      </c>
      <c r="B22" s="63"/>
      <c r="C22" s="61"/>
      <c r="D22" s="61"/>
      <c r="E22" s="61">
        <v>0</v>
      </c>
      <c r="F22" s="73"/>
      <c r="G22" s="26"/>
      <c r="H22" s="116">
        <f>E22*0.2</f>
        <v>0</v>
      </c>
      <c r="I22" s="104"/>
      <c r="J22" s="6"/>
      <c r="K22" s="6">
        <f t="shared" si="0"/>
        <v>0</v>
      </c>
    </row>
    <row r="23" spans="1:11" ht="12.75">
      <c r="A23" s="5" t="s">
        <v>27</v>
      </c>
      <c r="B23" s="63"/>
      <c r="C23" s="61"/>
      <c r="D23" s="61"/>
      <c r="E23" s="61">
        <v>0</v>
      </c>
      <c r="F23" s="73"/>
      <c r="G23" s="26"/>
      <c r="H23" s="116">
        <f>E20*0.2</f>
        <v>0</v>
      </c>
      <c r="I23" s="104"/>
      <c r="J23" s="6"/>
      <c r="K23" s="6">
        <f t="shared" si="0"/>
        <v>0</v>
      </c>
    </row>
    <row r="24" spans="1:11" ht="12.75">
      <c r="A24" s="5" t="s">
        <v>28</v>
      </c>
      <c r="B24" s="63"/>
      <c r="C24" s="61"/>
      <c r="D24" s="61"/>
      <c r="E24" s="61">
        <v>0</v>
      </c>
      <c r="F24" s="73"/>
      <c r="H24" s="26">
        <f>E21*0.5</f>
        <v>177426.70650312118</v>
      </c>
      <c r="I24" s="104"/>
      <c r="J24" s="6"/>
      <c r="K24" s="6">
        <f t="shared" si="0"/>
        <v>0</v>
      </c>
    </row>
    <row r="25" spans="1:11" ht="12.75">
      <c r="A25" s="5" t="s">
        <v>29</v>
      </c>
      <c r="B25" s="63"/>
      <c r="C25" s="61"/>
      <c r="D25" s="61"/>
      <c r="E25" s="61">
        <v>0</v>
      </c>
      <c r="F25" s="73"/>
      <c r="G25" s="26"/>
      <c r="H25" s="116">
        <f>E20*0.15</f>
        <v>0</v>
      </c>
      <c r="I25" s="104"/>
      <c r="J25" s="6"/>
      <c r="K25" s="6">
        <f t="shared" si="0"/>
        <v>0</v>
      </c>
    </row>
    <row r="26" spans="1:11" ht="12.75">
      <c r="A26" s="5" t="s">
        <v>30</v>
      </c>
      <c r="B26" s="63"/>
      <c r="C26" s="61"/>
      <c r="D26" s="61"/>
      <c r="E26" s="61">
        <v>0</v>
      </c>
      <c r="F26" s="73"/>
      <c r="G26" s="26"/>
      <c r="H26" s="116">
        <f>E20*0.1+E22*0.2</f>
        <v>0</v>
      </c>
      <c r="I26" s="104"/>
      <c r="J26" s="6"/>
      <c r="K26" s="6">
        <f>H24</f>
        <v>177426.70650312118</v>
      </c>
    </row>
    <row r="27" spans="1:11" ht="12.75">
      <c r="A27" s="5" t="s">
        <v>31</v>
      </c>
      <c r="B27" s="63"/>
      <c r="C27" s="61"/>
      <c r="D27" s="61"/>
      <c r="E27" s="61">
        <v>0</v>
      </c>
      <c r="F27" s="73"/>
      <c r="G27" s="26"/>
      <c r="H27" s="116">
        <f>E22*0.2</f>
        <v>0</v>
      </c>
      <c r="I27" s="104"/>
      <c r="J27" s="6"/>
      <c r="K27" s="6">
        <f t="shared" si="0"/>
        <v>0</v>
      </c>
    </row>
    <row r="28" spans="1:11" ht="12.75">
      <c r="A28" s="5" t="s">
        <v>32</v>
      </c>
      <c r="B28" s="63"/>
      <c r="C28" s="61"/>
      <c r="D28" s="61"/>
      <c r="E28" s="61"/>
      <c r="F28" s="73"/>
      <c r="H28" s="26">
        <f>E21*0.5</f>
        <v>177426.70650312118</v>
      </c>
      <c r="I28" s="104"/>
      <c r="J28" s="6"/>
      <c r="K28" s="6">
        <f t="shared" si="0"/>
        <v>0</v>
      </c>
    </row>
    <row r="29" spans="1:11" ht="12.75">
      <c r="A29" s="5" t="s">
        <v>33</v>
      </c>
      <c r="B29" s="61"/>
      <c r="C29" s="61"/>
      <c r="D29" s="62"/>
      <c r="E29" s="62"/>
      <c r="F29" s="73"/>
      <c r="G29" s="26"/>
      <c r="H29" s="116">
        <f>E28*0.2</f>
        <v>0</v>
      </c>
      <c r="I29" s="104"/>
      <c r="J29" s="6"/>
      <c r="K29" s="6">
        <f t="shared" si="0"/>
        <v>0</v>
      </c>
    </row>
    <row r="30" spans="1:11" ht="12.75">
      <c r="A30" s="5" t="s">
        <v>34</v>
      </c>
      <c r="B30" s="61"/>
      <c r="C30" s="61"/>
      <c r="D30" s="62"/>
      <c r="E30" s="62"/>
      <c r="F30" s="62"/>
      <c r="G30" s="6"/>
      <c r="H30" s="116"/>
      <c r="I30" s="104"/>
      <c r="J30" s="6"/>
      <c r="K30" s="6">
        <f>H28</f>
        <v>177426.70650312118</v>
      </c>
    </row>
    <row r="31" spans="1:11" ht="12.75">
      <c r="A31" s="5" t="s">
        <v>35</v>
      </c>
      <c r="B31" s="61"/>
      <c r="C31" s="61"/>
      <c r="D31" s="62"/>
      <c r="E31" s="62"/>
      <c r="F31" s="62"/>
      <c r="G31" s="6"/>
      <c r="H31" s="116">
        <f>E28*0.2</f>
        <v>0</v>
      </c>
      <c r="I31" s="104"/>
      <c r="J31" s="6"/>
      <c r="K31" s="6">
        <f t="shared" si="0"/>
        <v>0</v>
      </c>
    </row>
    <row r="32" spans="1:11" ht="12.75">
      <c r="A32" s="5" t="s">
        <v>36</v>
      </c>
      <c r="B32" s="61"/>
      <c r="C32" s="61"/>
      <c r="D32" s="62"/>
      <c r="E32" s="62"/>
      <c r="F32" s="62"/>
      <c r="G32" s="6"/>
      <c r="H32" s="116"/>
      <c r="I32" s="104"/>
      <c r="J32" s="6"/>
      <c r="K32" s="6">
        <f t="shared" si="0"/>
        <v>0</v>
      </c>
    </row>
    <row r="33" spans="1:11" ht="12.75">
      <c r="A33" s="5" t="s">
        <v>37</v>
      </c>
      <c r="B33" s="57"/>
      <c r="C33" s="57"/>
      <c r="D33" s="58"/>
      <c r="E33" s="58"/>
      <c r="F33" s="58"/>
      <c r="G33" s="6"/>
      <c r="H33" s="116">
        <f>E28*0.2</f>
        <v>0</v>
      </c>
      <c r="I33" s="104"/>
      <c r="J33" s="6"/>
      <c r="K33" s="6">
        <f>K38</f>
        <v>0</v>
      </c>
    </row>
    <row r="34" spans="1:11" ht="12.75">
      <c r="A34" s="5" t="s">
        <v>38</v>
      </c>
      <c r="B34" s="57"/>
      <c r="C34" s="57"/>
      <c r="D34" s="58"/>
      <c r="E34" s="58"/>
      <c r="F34" s="58"/>
      <c r="G34" s="6"/>
      <c r="H34" s="116"/>
      <c r="I34" s="104"/>
      <c r="J34" s="6"/>
      <c r="K34" s="6">
        <f t="shared" si="0"/>
        <v>0</v>
      </c>
    </row>
    <row r="35" spans="1:11" ht="12.75">
      <c r="A35" s="5" t="s">
        <v>39</v>
      </c>
      <c r="B35" s="57"/>
      <c r="C35" s="57"/>
      <c r="D35" s="58"/>
      <c r="E35" s="58"/>
      <c r="F35" s="58"/>
      <c r="G35" s="6"/>
      <c r="H35" s="116">
        <f>E28*0.2</f>
        <v>0</v>
      </c>
      <c r="I35" s="104"/>
      <c r="J35" s="6"/>
      <c r="K35" s="6">
        <f t="shared" si="0"/>
        <v>0</v>
      </c>
    </row>
    <row r="36" spans="1:11" ht="12.75">
      <c r="A36" s="5" t="s">
        <v>40</v>
      </c>
      <c r="B36" s="57"/>
      <c r="C36" s="58"/>
      <c r="D36" s="58"/>
      <c r="E36" s="115"/>
      <c r="F36" s="58"/>
      <c r="G36" s="6"/>
      <c r="H36" s="116">
        <f>E9*0.2</f>
        <v>0</v>
      </c>
      <c r="I36" s="104"/>
      <c r="J36" s="6"/>
      <c r="K36" s="6">
        <f t="shared" si="0"/>
        <v>0</v>
      </c>
    </row>
    <row r="37" spans="1:11" ht="12.75">
      <c r="A37" s="5" t="s">
        <v>41</v>
      </c>
      <c r="B37" s="57"/>
      <c r="C37" s="58"/>
      <c r="D37" s="58"/>
      <c r="E37" s="58"/>
      <c r="F37" s="58"/>
      <c r="G37" s="6"/>
      <c r="H37" s="116">
        <f>E28*0.2</f>
        <v>0</v>
      </c>
      <c r="I37" s="104"/>
      <c r="J37" s="6"/>
      <c r="K37" s="6">
        <f t="shared" si="0"/>
        <v>0</v>
      </c>
    </row>
    <row r="38" spans="1:11" ht="12.75">
      <c r="A38" s="5" t="s">
        <v>42</v>
      </c>
      <c r="B38" s="57"/>
      <c r="C38" s="58"/>
      <c r="D38" s="58"/>
      <c r="E38" s="58"/>
      <c r="F38" s="58"/>
      <c r="G38" s="6"/>
      <c r="H38" s="26"/>
      <c r="I38" s="6"/>
      <c r="J38" s="6"/>
      <c r="K38" s="6">
        <f>H36/2</f>
        <v>0</v>
      </c>
    </row>
    <row r="39" spans="1:11" ht="12.75">
      <c r="A39" s="5" t="s">
        <v>43</v>
      </c>
      <c r="B39" s="57"/>
      <c r="C39" s="58"/>
      <c r="D39" s="58"/>
      <c r="E39" s="58"/>
      <c r="F39" s="58"/>
      <c r="H39" s="6"/>
      <c r="J39" s="6"/>
      <c r="K39" s="6">
        <f t="shared" si="0"/>
        <v>0</v>
      </c>
    </row>
    <row r="40" spans="1:11" ht="12.75">
      <c r="A40" s="5"/>
      <c r="B40" s="6"/>
      <c r="G40" s="6"/>
      <c r="I40" s="6"/>
      <c r="J40" s="6"/>
      <c r="K40" s="6"/>
    </row>
    <row r="41" spans="8:11" ht="12.75">
      <c r="H41" s="6"/>
      <c r="J41" s="6"/>
      <c r="K41" s="6"/>
    </row>
    <row r="42" ht="12.75">
      <c r="K42" s="6"/>
    </row>
    <row r="44" ht="12.75">
      <c r="A44" t="s">
        <v>58</v>
      </c>
    </row>
    <row r="46" spans="1:11" ht="51">
      <c r="A46" s="4" t="s">
        <v>4</v>
      </c>
      <c r="B46" s="4" t="s">
        <v>5</v>
      </c>
      <c r="C46" s="4" t="s">
        <v>6</v>
      </c>
      <c r="D46" s="4" t="s">
        <v>7</v>
      </c>
      <c r="E46" s="12" t="s">
        <v>137</v>
      </c>
      <c r="F46" s="12" t="s">
        <v>139</v>
      </c>
      <c r="G46" s="12" t="s">
        <v>138</v>
      </c>
      <c r="H46" s="12" t="s">
        <v>141</v>
      </c>
      <c r="I46" s="12" t="s">
        <v>142</v>
      </c>
      <c r="J46" s="12" t="s">
        <v>147</v>
      </c>
      <c r="K46" s="12" t="s">
        <v>145</v>
      </c>
    </row>
    <row r="47" spans="1:11" ht="12.75">
      <c r="A47" s="5" t="s">
        <v>8</v>
      </c>
      <c r="B47">
        <v>0</v>
      </c>
      <c r="C47" s="6">
        <v>0</v>
      </c>
      <c r="D47" s="6">
        <v>0</v>
      </c>
      <c r="E47" s="6"/>
      <c r="F47" s="6"/>
      <c r="G47" s="6">
        <f>G4</f>
        <v>0</v>
      </c>
      <c r="H47" s="6"/>
      <c r="I47" s="6"/>
      <c r="J47" s="6">
        <f>J4</f>
        <v>0</v>
      </c>
      <c r="K47" s="6"/>
    </row>
    <row r="48" spans="1:11" ht="12.75">
      <c r="A48" s="5" t="s">
        <v>9</v>
      </c>
      <c r="B48">
        <v>0</v>
      </c>
      <c r="C48" s="6">
        <v>0</v>
      </c>
      <c r="D48" s="6">
        <v>0</v>
      </c>
      <c r="E48" s="6"/>
      <c r="F48" s="6"/>
      <c r="G48" s="6">
        <f>G47+G5</f>
        <v>0</v>
      </c>
      <c r="H48" s="6"/>
      <c r="I48" s="6"/>
      <c r="J48" s="6">
        <f>J47+J5</f>
        <v>0</v>
      </c>
      <c r="K48" s="6"/>
    </row>
    <row r="49" spans="1:11" ht="12.75">
      <c r="A49" s="5" t="s">
        <v>10</v>
      </c>
      <c r="B49">
        <v>0</v>
      </c>
      <c r="C49" s="6">
        <v>0</v>
      </c>
      <c r="D49" s="6">
        <v>0</v>
      </c>
      <c r="E49" s="6"/>
      <c r="F49" s="6"/>
      <c r="G49" s="6">
        <f>G48+G6</f>
        <v>0</v>
      </c>
      <c r="H49" s="6"/>
      <c r="I49" s="6"/>
      <c r="J49" s="6">
        <f>J48+J6</f>
        <v>0</v>
      </c>
      <c r="K49" s="6"/>
    </row>
    <row r="50" spans="1:11" ht="12.75">
      <c r="A50" s="5" t="s">
        <v>11</v>
      </c>
      <c r="B50" s="6"/>
      <c r="C50" s="6"/>
      <c r="D50" s="6"/>
      <c r="E50" s="6"/>
      <c r="F50" s="6"/>
      <c r="G50" s="6">
        <f>G49+G7</f>
        <v>0</v>
      </c>
      <c r="H50" s="6"/>
      <c r="I50" s="6"/>
      <c r="J50" s="6">
        <f>J49+J7</f>
        <v>0</v>
      </c>
      <c r="K50" s="6"/>
    </row>
    <row r="51" spans="1:11" ht="12.75">
      <c r="A51" s="5" t="s">
        <v>12</v>
      </c>
      <c r="B51" s="6"/>
      <c r="C51" s="6"/>
      <c r="D51" s="6"/>
      <c r="E51" s="6">
        <f aca="true" t="shared" si="1" ref="E51:E82">E50+E8</f>
        <v>0</v>
      </c>
      <c r="F51" s="6"/>
      <c r="G51" s="6">
        <f>G50+G8</f>
        <v>0</v>
      </c>
      <c r="H51" s="6"/>
      <c r="I51" s="6"/>
      <c r="J51" s="6">
        <f>J50+J8</f>
        <v>0</v>
      </c>
      <c r="K51" s="6"/>
    </row>
    <row r="52" spans="1:11" ht="12.75">
      <c r="A52" s="5" t="s">
        <v>13</v>
      </c>
      <c r="B52" s="6"/>
      <c r="C52" s="6"/>
      <c r="D52" s="6"/>
      <c r="E52" s="6">
        <f t="shared" si="1"/>
        <v>0</v>
      </c>
      <c r="F52" s="6"/>
      <c r="G52" s="6">
        <f>G51+G9</f>
        <v>0</v>
      </c>
      <c r="H52" s="6">
        <f>H51+H10</f>
        <v>0</v>
      </c>
      <c r="I52" s="6"/>
      <c r="J52" s="6">
        <f>J51+J9</f>
        <v>0</v>
      </c>
      <c r="K52" s="6"/>
    </row>
    <row r="53" spans="1:11" ht="12.75">
      <c r="A53" s="5" t="s">
        <v>14</v>
      </c>
      <c r="B53" s="6"/>
      <c r="C53" s="6"/>
      <c r="D53" s="6"/>
      <c r="E53" s="6">
        <f t="shared" si="1"/>
        <v>0</v>
      </c>
      <c r="F53" s="6"/>
      <c r="G53" s="6"/>
      <c r="H53" s="6">
        <f>H52+H10</f>
        <v>0</v>
      </c>
      <c r="I53" s="6"/>
      <c r="J53" s="6"/>
      <c r="K53" s="6">
        <f aca="true" t="shared" si="2" ref="K53:K82">K52+K10</f>
        <v>0</v>
      </c>
    </row>
    <row r="54" spans="1:11" ht="12.75">
      <c r="A54" s="5" t="s">
        <v>15</v>
      </c>
      <c r="B54" s="6"/>
      <c r="C54" s="6"/>
      <c r="D54" s="6"/>
      <c r="E54" s="6">
        <f t="shared" si="1"/>
        <v>0</v>
      </c>
      <c r="F54" s="6"/>
      <c r="G54" s="6"/>
      <c r="H54" s="6">
        <f>H53+H13</f>
        <v>0</v>
      </c>
      <c r="I54" s="6"/>
      <c r="J54" s="6"/>
      <c r="K54" s="6">
        <f t="shared" si="2"/>
        <v>0</v>
      </c>
    </row>
    <row r="55" spans="1:11" ht="12.75">
      <c r="A55" s="5" t="s">
        <v>16</v>
      </c>
      <c r="B55" s="6"/>
      <c r="C55" s="6"/>
      <c r="D55" s="6"/>
      <c r="E55" s="6">
        <f t="shared" si="1"/>
        <v>0</v>
      </c>
      <c r="F55" s="6"/>
      <c r="G55" s="6"/>
      <c r="H55" s="6">
        <f aca="true" t="shared" si="3" ref="H55:H82">H54+H14</f>
        <v>0</v>
      </c>
      <c r="I55" s="6"/>
      <c r="J55" s="6"/>
      <c r="K55" s="6">
        <f t="shared" si="2"/>
        <v>0</v>
      </c>
    </row>
    <row r="56" spans="1:11" ht="12.75">
      <c r="A56" s="5" t="s">
        <v>17</v>
      </c>
      <c r="B56" s="6"/>
      <c r="C56" s="6"/>
      <c r="D56" s="6"/>
      <c r="E56" s="6">
        <f t="shared" si="1"/>
        <v>0</v>
      </c>
      <c r="F56" s="6"/>
      <c r="G56" s="6"/>
      <c r="H56" s="6">
        <f t="shared" si="3"/>
        <v>0</v>
      </c>
      <c r="I56" s="6"/>
      <c r="J56" s="6"/>
      <c r="K56" s="6">
        <f t="shared" si="2"/>
        <v>0</v>
      </c>
    </row>
    <row r="57" spans="1:11" ht="12.75">
      <c r="A57" s="5" t="s">
        <v>18</v>
      </c>
      <c r="B57" s="6"/>
      <c r="C57" s="6"/>
      <c r="D57" s="6"/>
      <c r="E57" s="6">
        <f t="shared" si="1"/>
        <v>0</v>
      </c>
      <c r="F57" s="6"/>
      <c r="G57" s="6"/>
      <c r="H57" s="6">
        <f t="shared" si="3"/>
        <v>0</v>
      </c>
      <c r="I57" s="6"/>
      <c r="J57" s="6"/>
      <c r="K57" s="6">
        <f t="shared" si="2"/>
        <v>0</v>
      </c>
    </row>
    <row r="58" spans="1:11" ht="12.75">
      <c r="A58" s="5" t="s">
        <v>19</v>
      </c>
      <c r="B58" s="6"/>
      <c r="C58" s="6"/>
      <c r="D58" s="6"/>
      <c r="E58" s="6">
        <f t="shared" si="1"/>
        <v>0</v>
      </c>
      <c r="F58" s="6"/>
      <c r="G58" s="6"/>
      <c r="H58" s="6">
        <f t="shared" si="3"/>
        <v>0</v>
      </c>
      <c r="I58" s="6"/>
      <c r="J58" s="6"/>
      <c r="K58" s="6">
        <f t="shared" si="2"/>
        <v>0</v>
      </c>
    </row>
    <row r="59" spans="1:11" ht="12.75">
      <c r="A59" s="5" t="s">
        <v>20</v>
      </c>
      <c r="B59" s="6"/>
      <c r="C59" s="6"/>
      <c r="D59" s="6"/>
      <c r="E59" s="6">
        <f t="shared" si="1"/>
        <v>0</v>
      </c>
      <c r="F59" s="6"/>
      <c r="G59" s="6"/>
      <c r="H59" s="6">
        <f t="shared" si="3"/>
        <v>0</v>
      </c>
      <c r="I59" s="6"/>
      <c r="J59" s="6"/>
      <c r="K59" s="6">
        <f t="shared" si="2"/>
        <v>0</v>
      </c>
    </row>
    <row r="60" spans="1:11" ht="12.75">
      <c r="A60" s="5" t="s">
        <v>21</v>
      </c>
      <c r="B60" s="6"/>
      <c r="C60" s="6"/>
      <c r="D60" s="6"/>
      <c r="E60" s="6">
        <f t="shared" si="1"/>
        <v>0</v>
      </c>
      <c r="F60" s="6"/>
      <c r="G60" s="6"/>
      <c r="H60" s="6">
        <f t="shared" si="3"/>
        <v>0</v>
      </c>
      <c r="I60" s="6"/>
      <c r="J60" s="6"/>
      <c r="K60" s="6">
        <f t="shared" si="2"/>
        <v>0</v>
      </c>
    </row>
    <row r="61" spans="1:11" ht="12.75">
      <c r="A61" s="5" t="s">
        <v>22</v>
      </c>
      <c r="B61" s="6"/>
      <c r="C61" s="6"/>
      <c r="D61" s="6"/>
      <c r="E61" s="6">
        <f t="shared" si="1"/>
        <v>0</v>
      </c>
      <c r="F61" s="6"/>
      <c r="G61" s="6"/>
      <c r="H61" s="6">
        <f t="shared" si="3"/>
        <v>0</v>
      </c>
      <c r="I61" s="6"/>
      <c r="J61" s="6"/>
      <c r="K61" s="6">
        <f t="shared" si="2"/>
        <v>0</v>
      </c>
    </row>
    <row r="62" spans="1:11" ht="12.75">
      <c r="A62" s="5" t="s">
        <v>23</v>
      </c>
      <c r="B62" s="6"/>
      <c r="C62" s="6"/>
      <c r="D62" s="6"/>
      <c r="E62" s="6">
        <f t="shared" si="1"/>
        <v>0</v>
      </c>
      <c r="F62" s="6"/>
      <c r="G62" s="6"/>
      <c r="H62" s="6">
        <f t="shared" si="3"/>
        <v>0</v>
      </c>
      <c r="I62" s="6"/>
      <c r="J62" s="6"/>
      <c r="K62" s="6">
        <f t="shared" si="2"/>
        <v>0</v>
      </c>
    </row>
    <row r="63" spans="1:11" ht="12.75">
      <c r="A63" s="5" t="s">
        <v>24</v>
      </c>
      <c r="B63" s="6"/>
      <c r="C63" s="6"/>
      <c r="D63" s="6"/>
      <c r="E63" s="6">
        <f t="shared" si="1"/>
        <v>0</v>
      </c>
      <c r="F63" s="6"/>
      <c r="G63" s="6"/>
      <c r="H63" s="6">
        <f t="shared" si="3"/>
        <v>0</v>
      </c>
      <c r="I63" s="6"/>
      <c r="J63" s="6"/>
      <c r="K63" s="6">
        <f t="shared" si="2"/>
        <v>0</v>
      </c>
    </row>
    <row r="64" spans="1:11" ht="12.75">
      <c r="A64" s="5" t="s">
        <v>25</v>
      </c>
      <c r="B64" s="6"/>
      <c r="C64" s="6"/>
      <c r="D64" s="6"/>
      <c r="E64" s="6">
        <f t="shared" si="1"/>
        <v>354853.41300624236</v>
      </c>
      <c r="F64" s="6"/>
      <c r="G64" s="6"/>
      <c r="H64" s="6">
        <f t="shared" si="3"/>
        <v>0</v>
      </c>
      <c r="I64" s="6"/>
      <c r="J64" s="6"/>
      <c r="K64" s="6">
        <f t="shared" si="2"/>
        <v>0</v>
      </c>
    </row>
    <row r="65" spans="1:11" ht="12.75">
      <c r="A65" s="5" t="s">
        <v>26</v>
      </c>
      <c r="B65" s="6"/>
      <c r="C65" s="6"/>
      <c r="D65" s="6"/>
      <c r="E65" s="6">
        <f t="shared" si="1"/>
        <v>354853.41300624236</v>
      </c>
      <c r="F65" s="6"/>
      <c r="G65" s="6"/>
      <c r="H65" s="6">
        <f t="shared" si="3"/>
        <v>177426.70650312118</v>
      </c>
      <c r="I65" s="6"/>
      <c r="J65" s="6"/>
      <c r="K65" s="6">
        <f t="shared" si="2"/>
        <v>0</v>
      </c>
    </row>
    <row r="66" spans="1:11" ht="12.75">
      <c r="A66" s="5" t="s">
        <v>27</v>
      </c>
      <c r="B66" s="6"/>
      <c r="C66" s="6"/>
      <c r="D66" s="6"/>
      <c r="E66" s="6">
        <f t="shared" si="1"/>
        <v>354853.41300624236</v>
      </c>
      <c r="F66" s="6"/>
      <c r="G66" s="6"/>
      <c r="H66" s="6">
        <f t="shared" si="3"/>
        <v>177426.70650312118</v>
      </c>
      <c r="I66" s="6"/>
      <c r="J66" s="6"/>
      <c r="K66" s="6">
        <f t="shared" si="2"/>
        <v>0</v>
      </c>
    </row>
    <row r="67" spans="1:11" ht="12.75">
      <c r="A67" s="5" t="s">
        <v>28</v>
      </c>
      <c r="E67" s="6">
        <f t="shared" si="1"/>
        <v>354853.41300624236</v>
      </c>
      <c r="G67" s="6"/>
      <c r="H67" s="6">
        <f t="shared" si="3"/>
        <v>177426.70650312118</v>
      </c>
      <c r="I67" s="6"/>
      <c r="J67" s="6"/>
      <c r="K67" s="6">
        <f t="shared" si="2"/>
        <v>0</v>
      </c>
    </row>
    <row r="68" spans="1:11" ht="12.75">
      <c r="A68" s="5" t="s">
        <v>29</v>
      </c>
      <c r="E68" s="6">
        <f t="shared" si="1"/>
        <v>354853.41300624236</v>
      </c>
      <c r="G68" s="6"/>
      <c r="H68" s="6">
        <f t="shared" si="3"/>
        <v>177426.70650312118</v>
      </c>
      <c r="I68" s="6"/>
      <c r="J68" s="6"/>
      <c r="K68" s="6">
        <f t="shared" si="2"/>
        <v>0</v>
      </c>
    </row>
    <row r="69" spans="1:11" ht="12.75">
      <c r="A69" s="5" t="s">
        <v>30</v>
      </c>
      <c r="E69" s="6">
        <f t="shared" si="1"/>
        <v>354853.41300624236</v>
      </c>
      <c r="G69" s="6"/>
      <c r="H69" s="6">
        <f t="shared" si="3"/>
        <v>354853.41300624236</v>
      </c>
      <c r="I69" s="6"/>
      <c r="J69" s="6"/>
      <c r="K69" s="6">
        <f t="shared" si="2"/>
        <v>177426.70650312118</v>
      </c>
    </row>
    <row r="70" spans="1:11" ht="12.75">
      <c r="A70" s="5" t="s">
        <v>31</v>
      </c>
      <c r="E70" s="6">
        <f t="shared" si="1"/>
        <v>354853.41300624236</v>
      </c>
      <c r="G70" s="6"/>
      <c r="H70" s="6">
        <f t="shared" si="3"/>
        <v>354853.41300624236</v>
      </c>
      <c r="I70" s="6"/>
      <c r="J70" s="6"/>
      <c r="K70" s="6">
        <f t="shared" si="2"/>
        <v>177426.70650312118</v>
      </c>
    </row>
    <row r="71" spans="1:11" ht="12.75">
      <c r="A71" s="5" t="s">
        <v>32</v>
      </c>
      <c r="E71" s="6">
        <f t="shared" si="1"/>
        <v>354853.41300624236</v>
      </c>
      <c r="G71" s="6"/>
      <c r="H71" s="6">
        <f t="shared" si="3"/>
        <v>354853.41300624236</v>
      </c>
      <c r="I71" s="6"/>
      <c r="J71" s="6"/>
      <c r="K71" s="6">
        <f t="shared" si="2"/>
        <v>177426.70650312118</v>
      </c>
    </row>
    <row r="72" spans="1:11" ht="12.75">
      <c r="A72" s="5" t="s">
        <v>33</v>
      </c>
      <c r="E72" s="6">
        <f t="shared" si="1"/>
        <v>354853.41300624236</v>
      </c>
      <c r="G72" s="6"/>
      <c r="H72" s="6">
        <f t="shared" si="3"/>
        <v>354853.41300624236</v>
      </c>
      <c r="I72" s="6"/>
      <c r="J72" s="6"/>
      <c r="K72" s="6">
        <f t="shared" si="2"/>
        <v>177426.70650312118</v>
      </c>
    </row>
    <row r="73" spans="1:11" ht="12.75">
      <c r="A73" s="5" t="s">
        <v>34</v>
      </c>
      <c r="E73" s="6">
        <f t="shared" si="1"/>
        <v>354853.41300624236</v>
      </c>
      <c r="G73" s="6"/>
      <c r="H73" s="6">
        <f t="shared" si="3"/>
        <v>354853.41300624236</v>
      </c>
      <c r="I73" s="6"/>
      <c r="J73" s="6"/>
      <c r="K73" s="6">
        <f t="shared" si="2"/>
        <v>354853.41300624236</v>
      </c>
    </row>
    <row r="74" spans="1:11" ht="12.75">
      <c r="A74" s="5" t="s">
        <v>35</v>
      </c>
      <c r="E74" s="6">
        <f t="shared" si="1"/>
        <v>354853.41300624236</v>
      </c>
      <c r="G74" s="6"/>
      <c r="H74" s="6">
        <f t="shared" si="3"/>
        <v>354853.41300624236</v>
      </c>
      <c r="I74" s="6"/>
      <c r="J74" s="6"/>
      <c r="K74" s="6">
        <f t="shared" si="2"/>
        <v>354853.41300624236</v>
      </c>
    </row>
    <row r="75" spans="1:11" ht="12.75">
      <c r="A75" s="5" t="s">
        <v>36</v>
      </c>
      <c r="E75" s="6">
        <f t="shared" si="1"/>
        <v>354853.41300624236</v>
      </c>
      <c r="G75" s="6"/>
      <c r="H75" s="6">
        <f t="shared" si="3"/>
        <v>354853.41300624236</v>
      </c>
      <c r="I75" s="6"/>
      <c r="J75" s="6"/>
      <c r="K75" s="6">
        <f t="shared" si="2"/>
        <v>354853.41300624236</v>
      </c>
    </row>
    <row r="76" spans="1:11" ht="12.75">
      <c r="A76" s="5" t="s">
        <v>37</v>
      </c>
      <c r="E76" s="6">
        <f t="shared" si="1"/>
        <v>354853.41300624236</v>
      </c>
      <c r="G76" s="6"/>
      <c r="H76" s="6">
        <f t="shared" si="3"/>
        <v>354853.41300624236</v>
      </c>
      <c r="I76" s="6"/>
      <c r="J76" s="6"/>
      <c r="K76" s="6">
        <f t="shared" si="2"/>
        <v>354853.41300624236</v>
      </c>
    </row>
    <row r="77" spans="1:11" ht="12.75">
      <c r="A77" s="5" t="s">
        <v>38</v>
      </c>
      <c r="E77" s="6">
        <f t="shared" si="1"/>
        <v>354853.41300624236</v>
      </c>
      <c r="G77" s="6"/>
      <c r="H77" s="6">
        <f t="shared" si="3"/>
        <v>354853.41300624236</v>
      </c>
      <c r="I77" s="6"/>
      <c r="J77" s="6"/>
      <c r="K77" s="6">
        <f t="shared" si="2"/>
        <v>354853.41300624236</v>
      </c>
    </row>
    <row r="78" spans="1:11" ht="12.75">
      <c r="A78" s="5" t="s">
        <v>39</v>
      </c>
      <c r="E78" s="6">
        <f t="shared" si="1"/>
        <v>354853.41300624236</v>
      </c>
      <c r="G78" s="6"/>
      <c r="H78" s="6">
        <f t="shared" si="3"/>
        <v>354853.41300624236</v>
      </c>
      <c r="I78" s="6"/>
      <c r="J78" s="6"/>
      <c r="K78" s="6">
        <f t="shared" si="2"/>
        <v>354853.41300624236</v>
      </c>
    </row>
    <row r="79" spans="1:11" ht="12.75">
      <c r="A79" s="5" t="s">
        <v>40</v>
      </c>
      <c r="E79" s="6">
        <f t="shared" si="1"/>
        <v>354853.41300624236</v>
      </c>
      <c r="G79" s="6"/>
      <c r="H79" s="6">
        <f t="shared" si="3"/>
        <v>354853.41300624236</v>
      </c>
      <c r="I79" s="6"/>
      <c r="J79" s="6"/>
      <c r="K79" s="6">
        <f t="shared" si="2"/>
        <v>354853.41300624236</v>
      </c>
    </row>
    <row r="80" spans="1:11" ht="12.75">
      <c r="A80" s="5" t="s">
        <v>41</v>
      </c>
      <c r="E80" s="6">
        <f t="shared" si="1"/>
        <v>354853.41300624236</v>
      </c>
      <c r="G80" s="6"/>
      <c r="H80" s="6">
        <f t="shared" si="3"/>
        <v>354853.41300624236</v>
      </c>
      <c r="I80" s="6"/>
      <c r="J80" s="6"/>
      <c r="K80" s="6">
        <f t="shared" si="2"/>
        <v>354853.41300624236</v>
      </c>
    </row>
    <row r="81" spans="1:11" ht="12.75">
      <c r="A81" s="5" t="s">
        <v>42</v>
      </c>
      <c r="E81" s="6">
        <f t="shared" si="1"/>
        <v>354853.41300624236</v>
      </c>
      <c r="G81" s="6"/>
      <c r="H81" s="6">
        <f t="shared" si="3"/>
        <v>354853.41300624236</v>
      </c>
      <c r="I81" s="6"/>
      <c r="J81" s="6"/>
      <c r="K81" s="6">
        <f t="shared" si="2"/>
        <v>354853.41300624236</v>
      </c>
    </row>
    <row r="82" spans="1:11" ht="12.75">
      <c r="A82" s="5" t="s">
        <v>43</v>
      </c>
      <c r="E82" s="6">
        <f t="shared" si="1"/>
        <v>354853.41300624236</v>
      </c>
      <c r="G82" s="6"/>
      <c r="H82" s="6">
        <f t="shared" si="3"/>
        <v>354853.41300624236</v>
      </c>
      <c r="I82" s="6"/>
      <c r="J82" s="6"/>
      <c r="K82" s="6">
        <f t="shared" si="2"/>
        <v>354853.41300624236</v>
      </c>
    </row>
  </sheetData>
  <mergeCells count="1">
    <mergeCell ref="A1:K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58"/>
  <sheetViews>
    <sheetView view="pageBreakPreview" zoomScaleSheetLayoutView="100" workbookViewId="0" topLeftCell="B21">
      <selection activeCell="H17" sqref="H17"/>
    </sheetView>
  </sheetViews>
  <sheetFormatPr defaultColWidth="9.140625" defaultRowHeight="12.75"/>
  <cols>
    <col min="1" max="1" width="14.140625" style="0" customWidth="1"/>
    <col min="2" max="2" width="13.421875" style="0" bestFit="1" customWidth="1"/>
    <col min="3" max="3" width="17.8515625" style="0" customWidth="1"/>
    <col min="4" max="4" width="18.57421875" style="0" customWidth="1"/>
    <col min="5" max="6" width="16.140625" style="0" customWidth="1"/>
    <col min="7" max="7" width="13.28125" style="0" customWidth="1"/>
    <col min="8" max="9" width="11.140625" style="0" customWidth="1"/>
    <col min="10" max="10" width="14.140625" style="0" customWidth="1"/>
    <col min="11" max="12" width="15.7109375" style="0" customWidth="1"/>
    <col min="13" max="15" width="13.421875" style="0" bestFit="1" customWidth="1"/>
  </cols>
  <sheetData>
    <row r="2" spans="1:15" ht="55.5" customHeight="1">
      <c r="A2" s="139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03"/>
      <c r="O2" s="103"/>
    </row>
    <row r="4" spans="1:9" ht="15.75">
      <c r="A4" s="25" t="s">
        <v>61</v>
      </c>
      <c r="G4" s="25" t="s">
        <v>53</v>
      </c>
      <c r="H4" s="25"/>
      <c r="I4" s="25"/>
    </row>
    <row r="5" spans="1:9" ht="15.75">
      <c r="A5" t="s">
        <v>143</v>
      </c>
      <c r="C5" s="26">
        <v>25000000</v>
      </c>
      <c r="G5" s="25"/>
      <c r="H5" s="25"/>
      <c r="I5" s="25"/>
    </row>
    <row r="6" spans="1:2" ht="12.75">
      <c r="A6" t="s">
        <v>54</v>
      </c>
      <c r="B6" s="26">
        <f>D17*0.07</f>
        <v>1750000.0000000002</v>
      </c>
    </row>
    <row r="7" spans="1:13" ht="12.75">
      <c r="A7" s="137" t="s">
        <v>0</v>
      </c>
      <c r="B7" s="138"/>
      <c r="C7" s="138"/>
      <c r="D7" s="71"/>
      <c r="E7" s="69"/>
      <c r="F7" s="69"/>
      <c r="G7" s="31" t="s">
        <v>48</v>
      </c>
      <c r="H7" s="32"/>
      <c r="I7" s="32"/>
      <c r="J7" s="42"/>
      <c r="K7" s="32"/>
      <c r="L7" s="123"/>
      <c r="M7" s="16"/>
    </row>
    <row r="8" spans="1:12" ht="82.5" customHeight="1">
      <c r="A8" s="86" t="s">
        <v>1</v>
      </c>
      <c r="B8" s="85" t="s">
        <v>2</v>
      </c>
      <c r="C8" s="85" t="s">
        <v>47</v>
      </c>
      <c r="D8" s="85" t="s">
        <v>132</v>
      </c>
      <c r="E8" s="16"/>
      <c r="F8" s="16"/>
      <c r="G8" s="92"/>
      <c r="H8" s="93" t="s">
        <v>44</v>
      </c>
      <c r="I8" s="93"/>
      <c r="J8" s="93" t="s">
        <v>49</v>
      </c>
      <c r="K8" s="93" t="s">
        <v>45</v>
      </c>
      <c r="L8" s="35"/>
    </row>
    <row r="9" spans="1:12" ht="15.75">
      <c r="A9" s="21"/>
      <c r="B9" s="22"/>
      <c r="C9" s="27"/>
      <c r="D9" s="30"/>
      <c r="E9" s="16"/>
      <c r="F9" s="16"/>
      <c r="G9" s="94" t="s">
        <v>50</v>
      </c>
      <c r="H9" s="95">
        <v>25000000</v>
      </c>
      <c r="I9" s="95"/>
      <c r="J9" s="96">
        <f>H9/$H$12</f>
        <v>0.5176357141974204</v>
      </c>
      <c r="K9" s="95">
        <f>J9*$B$6</f>
        <v>905862.4998454858</v>
      </c>
      <c r="L9" s="128"/>
    </row>
    <row r="10" spans="1:12" ht="12.75">
      <c r="A10" s="2">
        <v>2007</v>
      </c>
      <c r="B10" s="23">
        <v>3512400</v>
      </c>
      <c r="C10" s="28">
        <f>B10/$B$17</f>
        <v>0.07272574730188078</v>
      </c>
      <c r="D10" s="9">
        <f aca="true" t="shared" si="0" ref="D10:D16">C10*$C$5</f>
        <v>1818143.6825470193</v>
      </c>
      <c r="E10" s="16"/>
      <c r="F10" s="16"/>
      <c r="G10" s="97" t="s">
        <v>51</v>
      </c>
      <c r="H10" s="98">
        <v>9659303</v>
      </c>
      <c r="I10" s="98"/>
      <c r="J10" s="99">
        <f>H10/$H$12</f>
        <v>0.20000000828217143</v>
      </c>
      <c r="K10" s="98">
        <f>J10*$B$6</f>
        <v>350000.01449380006</v>
      </c>
      <c r="L10" s="129"/>
    </row>
    <row r="11" spans="1:12" ht="12.75">
      <c r="A11" s="2">
        <v>2008</v>
      </c>
      <c r="B11" s="23">
        <v>5141700</v>
      </c>
      <c r="C11" s="28">
        <f aca="true" t="shared" si="1" ref="C11:C16">B11/$B$17</f>
        <v>0.10646110206755506</v>
      </c>
      <c r="D11" s="9">
        <f t="shared" si="0"/>
        <v>2661527.5516888765</v>
      </c>
      <c r="E11" s="16"/>
      <c r="F11" s="16"/>
      <c r="G11" s="92" t="s">
        <v>52</v>
      </c>
      <c r="H11" s="100">
        <v>13637210</v>
      </c>
      <c r="I11" s="100"/>
      <c r="J11" s="101">
        <f>H11/$H$12</f>
        <v>0.28236427752040816</v>
      </c>
      <c r="K11" s="102">
        <f>J11*$B$6</f>
        <v>494137.48566071433</v>
      </c>
      <c r="L11" s="124"/>
    </row>
    <row r="12" spans="1:12" ht="12.75">
      <c r="A12" s="2">
        <v>2009</v>
      </c>
      <c r="B12" s="23">
        <v>7001019</v>
      </c>
      <c r="C12" s="28">
        <f t="shared" si="1"/>
        <v>0.1449590988069884</v>
      </c>
      <c r="D12" s="9">
        <f t="shared" si="0"/>
        <v>3623977.47017471</v>
      </c>
      <c r="E12" s="16"/>
      <c r="F12" s="16"/>
      <c r="G12" s="92" t="s">
        <v>46</v>
      </c>
      <c r="H12" s="100">
        <f>SUM(H9:H11)</f>
        <v>48296513</v>
      </c>
      <c r="I12" s="100"/>
      <c r="J12" s="92"/>
      <c r="K12" s="102">
        <f>SUM(K9:K11)</f>
        <v>1750000.0000000002</v>
      </c>
      <c r="L12" s="124"/>
    </row>
    <row r="13" spans="1:6" ht="12.75">
      <c r="A13" s="2">
        <v>2010</v>
      </c>
      <c r="B13" s="23">
        <v>7377256</v>
      </c>
      <c r="C13" s="28">
        <f t="shared" si="1"/>
        <v>0.1527492471350882</v>
      </c>
      <c r="D13" s="9">
        <f t="shared" si="0"/>
        <v>3818731.178377205</v>
      </c>
      <c r="E13" s="16"/>
      <c r="F13" s="16"/>
    </row>
    <row r="14" spans="1:6" ht="12.75">
      <c r="A14" s="2">
        <v>2011</v>
      </c>
      <c r="B14" s="23">
        <v>7898065</v>
      </c>
      <c r="C14" s="28">
        <f t="shared" si="1"/>
        <v>0.16353282068210598</v>
      </c>
      <c r="D14" s="9">
        <f t="shared" si="0"/>
        <v>4088320.5170526495</v>
      </c>
      <c r="E14" s="16"/>
      <c r="F14" s="16"/>
    </row>
    <row r="15" spans="1:6" ht="12.75">
      <c r="A15" s="2">
        <v>2012</v>
      </c>
      <c r="B15" s="23">
        <v>8421780</v>
      </c>
      <c r="C15" s="28">
        <f t="shared" si="1"/>
        <v>0.17437656420454206</v>
      </c>
      <c r="D15" s="9">
        <f t="shared" si="0"/>
        <v>4359414.105113552</v>
      </c>
      <c r="E15" s="16"/>
      <c r="F15" s="16"/>
    </row>
    <row r="16" spans="1:12" ht="12.75">
      <c r="A16" s="2">
        <v>2013</v>
      </c>
      <c r="B16" s="23">
        <v>8944293</v>
      </c>
      <c r="C16" s="28">
        <f t="shared" si="1"/>
        <v>0.1851954198018395</v>
      </c>
      <c r="D16" s="9">
        <f t="shared" si="0"/>
        <v>4629885.495045988</v>
      </c>
      <c r="E16" s="16"/>
      <c r="F16" s="16"/>
      <c r="J16" s="6"/>
      <c r="K16" s="6"/>
      <c r="L16" s="6"/>
    </row>
    <row r="17" spans="1:6" ht="12.75">
      <c r="A17" s="3" t="s">
        <v>3</v>
      </c>
      <c r="B17" s="24">
        <f>SUM(B10:B16)</f>
        <v>48296513</v>
      </c>
      <c r="C17" s="29"/>
      <c r="D17" s="10">
        <f>SUM(D10:D16)</f>
        <v>25000000</v>
      </c>
      <c r="E17" s="16"/>
      <c r="F17" s="16"/>
    </row>
    <row r="20" ht="15.75">
      <c r="A20" s="25" t="s">
        <v>60</v>
      </c>
    </row>
    <row r="21" spans="1:13" ht="51">
      <c r="A21" s="77" t="s">
        <v>4</v>
      </c>
      <c r="B21" s="78" t="s">
        <v>5</v>
      </c>
      <c r="C21" s="78" t="s">
        <v>6</v>
      </c>
      <c r="D21" s="78" t="s">
        <v>7</v>
      </c>
      <c r="E21" s="119" t="s">
        <v>182</v>
      </c>
      <c r="F21" s="119" t="s">
        <v>139</v>
      </c>
      <c r="G21" s="119" t="s">
        <v>138</v>
      </c>
      <c r="H21" s="119" t="s">
        <v>141</v>
      </c>
      <c r="I21" s="119" t="s">
        <v>142</v>
      </c>
      <c r="J21" s="119" t="s">
        <v>147</v>
      </c>
      <c r="K21" s="119" t="s">
        <v>183</v>
      </c>
      <c r="L21" s="119" t="s">
        <v>146</v>
      </c>
      <c r="M21" s="119" t="s">
        <v>144</v>
      </c>
    </row>
    <row r="22" spans="1:13" ht="12.75">
      <c r="A22" s="71"/>
      <c r="B22" s="79"/>
      <c r="C22" s="79"/>
      <c r="D22" s="79"/>
      <c r="E22" s="80">
        <v>0</v>
      </c>
      <c r="F22" s="80"/>
      <c r="G22" s="81"/>
      <c r="H22" s="81">
        <v>0</v>
      </c>
      <c r="I22" s="81"/>
      <c r="J22" s="81"/>
      <c r="K22" s="81"/>
      <c r="L22" s="81"/>
      <c r="M22" s="81"/>
    </row>
    <row r="23" spans="1:13" ht="12.75">
      <c r="A23" s="82" t="s">
        <v>8</v>
      </c>
      <c r="B23" s="83">
        <v>0</v>
      </c>
      <c r="C23" s="83">
        <v>0</v>
      </c>
      <c r="D23" s="83">
        <v>0</v>
      </c>
      <c r="E23" s="80">
        <v>0</v>
      </c>
      <c r="F23" s="80"/>
      <c r="G23" s="81">
        <f>'IM 1.1'!G23+'IM 1.2'!G23+'IM 1.3'!G23+'IM 1.4'!G23</f>
        <v>0</v>
      </c>
      <c r="H23" s="81">
        <v>0</v>
      </c>
      <c r="I23" s="81"/>
      <c r="J23" s="81">
        <f>'IM 1.1'!J23+'IM 1.2'!J23+'IM 1.3'!J23+'IM 1.4'!J23</f>
        <v>0</v>
      </c>
      <c r="K23" s="81"/>
      <c r="L23" s="81"/>
      <c r="M23" s="81">
        <f>'IM 1.1'!M23+'IM 1.2'!M23+'IM 1.3'!M23+'IM 1.4'!M23</f>
        <v>0</v>
      </c>
    </row>
    <row r="24" spans="1:13" ht="12.75">
      <c r="A24" s="82" t="s">
        <v>9</v>
      </c>
      <c r="B24" s="83">
        <v>0</v>
      </c>
      <c r="C24" s="83">
        <v>0</v>
      </c>
      <c r="D24" s="83">
        <v>0</v>
      </c>
      <c r="E24" s="80">
        <v>0</v>
      </c>
      <c r="F24" s="80"/>
      <c r="G24" s="81">
        <f>'IM 1.1'!G24+'IM 1.2'!G24+'IM 1.3'!G24+'IM 1.4'!G24</f>
        <v>0</v>
      </c>
      <c r="H24" s="81">
        <v>0</v>
      </c>
      <c r="I24" s="81"/>
      <c r="J24" s="81">
        <f>'IM 1.1'!J24+'IM 1.2'!J24+'IM 1.3'!J24+'IM 1.4'!J24</f>
        <v>0</v>
      </c>
      <c r="K24" s="81"/>
      <c r="L24" s="81"/>
      <c r="M24" s="81">
        <f>'IM 1.1'!M24+'IM 1.2'!M24+'IM 1.3'!M24+'IM 1.4'!M24</f>
        <v>0</v>
      </c>
    </row>
    <row r="25" spans="1:13" ht="12.75">
      <c r="A25" s="82" t="s">
        <v>10</v>
      </c>
      <c r="B25" s="83">
        <v>0</v>
      </c>
      <c r="C25" s="83">
        <v>0</v>
      </c>
      <c r="D25" s="83">
        <v>0</v>
      </c>
      <c r="E25" s="80">
        <v>0</v>
      </c>
      <c r="F25" s="80"/>
      <c r="G25" s="81">
        <f>'IM 1.1'!G25+'IM 1.2'!G25+'IM 1.3'!G25+'IM 1.4'!G25</f>
        <v>0</v>
      </c>
      <c r="H25" s="81">
        <v>0</v>
      </c>
      <c r="I25" s="81"/>
      <c r="J25" s="81">
        <f>'IM 1.1'!J25+'IM 1.2'!J25+'IM 1.3'!J25+'IM 1.4'!J25</f>
        <v>0</v>
      </c>
      <c r="K25" s="81"/>
      <c r="L25" s="81"/>
      <c r="M25" s="81">
        <f>'IM 1.1'!M25+'IM 1.2'!M25+'IM 1.3'!M25+'IM 1.4'!M25</f>
        <v>0</v>
      </c>
    </row>
    <row r="26" spans="1:13" ht="12.75">
      <c r="A26" s="82" t="s">
        <v>11</v>
      </c>
      <c r="B26" s="83">
        <f>D10</f>
        <v>1818143.6825470193</v>
      </c>
      <c r="C26" s="83">
        <v>0</v>
      </c>
      <c r="D26" s="83">
        <v>0</v>
      </c>
      <c r="E26" s="81">
        <f>'IM 1.1'!E26+'IM 1.2'!E26+'IM 1.3'!E26+'IM 1.4'!E26+'IM 1.5 '!E26</f>
        <v>1337648</v>
      </c>
      <c r="F26" s="81"/>
      <c r="G26" s="81">
        <f>'IM 1.1'!G26+'IM 1.2'!G26+'IM 1.3'!G26+'IM 1.4'!G26+'IM 1.5 '!G26</f>
        <v>0</v>
      </c>
      <c r="H26" s="81">
        <f>'IM 1.1'!H26+'IM 1.2'!H26+'IM 1.3'!H26+'IM 1.4'!H26+'IM 1.5 '!H26</f>
        <v>0</v>
      </c>
      <c r="I26" s="81"/>
      <c r="J26" s="81">
        <f>'IM 1.1'!J26+'IM 1.2'!J26+'IM 1.3'!J26+'IM 1.4'!J26+'IM 1.5 '!J26</f>
        <v>0</v>
      </c>
      <c r="K26" s="81">
        <f>'IM 1.1'!K26+'IM 1.2'!K26+'IM 1.3'!K26+'IM 1.4'!K26+'IM 1.5 '!K26</f>
        <v>0</v>
      </c>
      <c r="L26" s="81"/>
      <c r="M26" s="81">
        <f>'IM 1.1'!M26+'IM 1.2'!M26+'IM 1.3'!M26+'IM 1.4'!M26+'IM 1.5 '!M26</f>
        <v>0</v>
      </c>
    </row>
    <row r="27" spans="1:13" ht="12.75">
      <c r="A27" s="82" t="s">
        <v>12</v>
      </c>
      <c r="B27" s="83">
        <f>B26+D11</f>
        <v>4479671.234235896</v>
      </c>
      <c r="C27" s="83">
        <v>0</v>
      </c>
      <c r="D27" s="83">
        <v>0</v>
      </c>
      <c r="E27" s="81">
        <f>'IM 1.1'!E27+'IM 1.2'!E27+'IM 1.3'!E27+'IM 1.4'!E27+'IM 1.5 '!E27</f>
        <v>2264635.7494465266</v>
      </c>
      <c r="F27" s="81"/>
      <c r="G27" s="81">
        <f>'IM 1.1'!G27+'IM 1.2'!G27+'IM 1.3'!G27+'IM 1.4'!G27+'IM 1.5 '!G27</f>
        <v>0</v>
      </c>
      <c r="H27" s="81">
        <f>'IM 1.1'!H27+'IM 1.2'!H27+'IM 1.3'!H27+'IM 1.4'!H27+'IM 1.5 '!H27</f>
        <v>0</v>
      </c>
      <c r="I27" s="81"/>
      <c r="J27" s="81">
        <f>'IM 1.1'!J27+'IM 1.2'!J27+'IM 1.3'!J27+'IM 1.4'!J27+'IM 1.5 '!J27</f>
        <v>0</v>
      </c>
      <c r="K27" s="81">
        <f>'IM 1.1'!K27+'IM 1.2'!K27+'IM 1.3'!K27+'IM 1.4'!K27+'IM 1.5 '!K27</f>
        <v>0</v>
      </c>
      <c r="L27" s="81"/>
      <c r="M27" s="81">
        <f>'IM 1.1'!M27+'IM 1.2'!M27+'IM 1.3'!M27+'IM 1.4'!M27+'IM 1.5 '!M27</f>
        <v>0</v>
      </c>
    </row>
    <row r="28" spans="1:13" ht="12.75">
      <c r="A28" s="82" t="s">
        <v>13</v>
      </c>
      <c r="B28" s="83">
        <f>B27</f>
        <v>4479671.234235896</v>
      </c>
      <c r="C28" s="83">
        <v>0</v>
      </c>
      <c r="D28" s="83">
        <v>0</v>
      </c>
      <c r="E28" s="81">
        <f>'IM 1.1'!E28+'IM 1.2'!E28+'IM 1.3'!E28+'IM 1.4'!E28+'IM 1.5 '!E28</f>
        <v>5655610.05200861</v>
      </c>
      <c r="F28" s="81"/>
      <c r="G28" s="81">
        <f>'IM 1.1'!G28+'IM 1.2'!G28+'IM 1.3'!G28+'IM 1.4'!G28+'IM 1.5 '!G28</f>
        <v>0</v>
      </c>
      <c r="H28" s="81">
        <f>'IM 1.1'!H28+'IM 1.2'!H28+'IM 1.3'!H28+'IM 1.4'!H28+'IM 1.5 '!H28</f>
        <v>0</v>
      </c>
      <c r="I28" s="81"/>
      <c r="J28" s="81">
        <f>'IM 1.1'!J28+'IM 1.2'!J28+'IM 1.3'!J28+'IM 1.4'!J28+'IM 1.5 '!J28</f>
        <v>0</v>
      </c>
      <c r="K28" s="81">
        <f>'IM 1.1'!K28+'IM 1.2'!K28+'IM 1.3'!K28+'IM 1.4'!K28+'IM 1.5 '!K28</f>
        <v>0</v>
      </c>
      <c r="L28" s="81"/>
      <c r="M28" s="81">
        <f>'IM 1.1'!M28+'IM 1.2'!M28+'IM 1.3'!M28+'IM 1.4'!M28+'IM 1.5 '!M28</f>
        <v>0</v>
      </c>
    </row>
    <row r="29" spans="1:13" ht="12.75">
      <c r="A29" s="82" t="s">
        <v>14</v>
      </c>
      <c r="B29" s="83">
        <f>B28</f>
        <v>4479671.234235896</v>
      </c>
      <c r="C29" s="83">
        <v>0</v>
      </c>
      <c r="D29" s="83">
        <v>0</v>
      </c>
      <c r="E29" s="81">
        <f>'IM 1.1'!E29+'IM 1.2'!E29+'IM 1.3'!E29+'IM 1.4'!E29+'IM 1.5 '!E29</f>
        <v>7478669.545931906</v>
      </c>
      <c r="F29" s="81"/>
      <c r="G29" s="81">
        <f>'IM 1.1'!G29+'IM 1.2'!G29+'IM 1.3'!G29+'IM 1.4'!G29+'IM 1.5 '!G29</f>
        <v>0</v>
      </c>
      <c r="H29" s="81">
        <f>'IM 1.1'!H29+'IM 1.2'!H29+'IM 1.3'!H29+'IM 1.4'!H29+'IM 1.5 '!H29</f>
        <v>182002.6344744431</v>
      </c>
      <c r="I29" s="81"/>
      <c r="J29" s="81">
        <f>'IM 1.1'!J29+'IM 1.2'!J29+'IM 1.3'!J29+'IM 1.4'!J29+'IM 1.5 '!J29</f>
        <v>0</v>
      </c>
      <c r="K29" s="81">
        <f>'IM 1.1'!K29+'IM 1.2'!K29+'IM 1.3'!K29+'IM 1.4'!K29+'IM 1.5 '!K29</f>
        <v>0</v>
      </c>
      <c r="L29" s="81"/>
      <c r="M29" s="81">
        <f>'IM 1.1'!M29+'IM 1.2'!M29+'IM 1.3'!M29+'IM 1.4'!M29+'IM 1.5 '!M29</f>
        <v>0</v>
      </c>
    </row>
    <row r="30" spans="1:13" ht="12.75">
      <c r="A30" s="82" t="s">
        <v>15</v>
      </c>
      <c r="B30" s="83">
        <f>B29</f>
        <v>4479671.234235896</v>
      </c>
      <c r="C30" s="83">
        <v>0</v>
      </c>
      <c r="D30" s="83">
        <v>0</v>
      </c>
      <c r="E30" s="81">
        <f>'IM 1.1'!E30+'IM 1.2'!E30+'IM 1.3'!E30+'IM 1.4'!E30+'IM 1.5 '!E30</f>
        <v>8117528.751486581</v>
      </c>
      <c r="F30" s="81"/>
      <c r="G30" s="81">
        <f>'IM 1.1'!G30+'IM 1.2'!G30+'IM 1.3'!G30+'IM 1.4'!G30+'IM 1.5 '!G30</f>
        <v>0</v>
      </c>
      <c r="H30" s="81">
        <f>'IM 1.1'!H30+'IM 1.2'!H30+'IM 1.3'!H30+'IM 1.4'!H30+'IM 1.5 '!H30</f>
        <v>1333924.7962790732</v>
      </c>
      <c r="I30" s="81"/>
      <c r="J30" s="81">
        <f>'IM 1.1'!J30+'IM 1.2'!J30+'IM 1.3'!J30+'IM 1.4'!J30+'IM 1.5 '!J30</f>
        <v>0</v>
      </c>
      <c r="K30" s="81">
        <f>'IM 1.1'!K30+'IM 1.2'!K30+'IM 1.3'!K30+'IM 1.4'!K30+'IM 1.5 '!K30</f>
        <v>0</v>
      </c>
      <c r="L30" s="81"/>
      <c r="M30" s="81">
        <f>'IM 1.1'!M30+'IM 1.2'!M30+'IM 1.3'!M30+'IM 1.4'!M30+'IM 1.5 '!M30</f>
        <v>0</v>
      </c>
    </row>
    <row r="31" spans="1:13" ht="12.75">
      <c r="A31" s="82" t="s">
        <v>16</v>
      </c>
      <c r="B31" s="83">
        <f>B30+D12</f>
        <v>8103648.704410605</v>
      </c>
      <c r="C31" s="83">
        <v>0</v>
      </c>
      <c r="D31" s="83">
        <v>0</v>
      </c>
      <c r="E31" s="81">
        <f>'IM 1.1'!E31+'IM 1.2'!E31+'IM 1.3'!E31+'IM 1.4'!E31+'IM 1.5 '!E31</f>
        <v>9473474.820418952</v>
      </c>
      <c r="F31" s="81"/>
      <c r="G31" s="81">
        <f>'IM 1.1'!G31+'IM 1.2'!G31+'IM 1.3'!G31+'IM 1.4'!G31+'IM 1.5 '!G31</f>
        <v>0</v>
      </c>
      <c r="H31" s="81">
        <f>'IM 1.1'!H31+'IM 1.2'!H31+'IM 1.3'!H31+'IM 1.4'!H31+'IM 1.5 '!H31</f>
        <v>2912609.9691793257</v>
      </c>
      <c r="I31" s="81"/>
      <c r="J31" s="81">
        <f>'IM 1.1'!J31+'IM 1.2'!J31+'IM 1.3'!J31+'IM 1.4'!J31+'IM 1.5 '!J31</f>
        <v>0</v>
      </c>
      <c r="K31" s="81">
        <f>'IM 1.1'!K31+'IM 1.2'!K31+'IM 1.3'!K31+'IM 1.4'!K31+'IM 1.5 '!K31</f>
        <v>0</v>
      </c>
      <c r="L31" s="81"/>
      <c r="M31" s="81">
        <f>'IM 1.1'!M31+'IM 1.2'!M31+'IM 1.3'!M31+'IM 1.4'!M31+'IM 1.5 '!M31</f>
        <v>0</v>
      </c>
    </row>
    <row r="32" spans="1:13" ht="12.75">
      <c r="A32" s="82" t="s">
        <v>17</v>
      </c>
      <c r="B32" s="83">
        <f>B31</f>
        <v>8103648.704410605</v>
      </c>
      <c r="C32" s="83">
        <v>0</v>
      </c>
      <c r="D32" s="83">
        <v>0</v>
      </c>
      <c r="E32" s="81">
        <f>'IM 1.1'!E32+'IM 1.2'!E32+'IM 1.3'!E32+'IM 1.4'!E32+'IM 1.5 '!E32</f>
        <v>9473474.820418952</v>
      </c>
      <c r="F32" s="81"/>
      <c r="G32" s="81">
        <f>'IM 1.1'!G32+'IM 1.2'!G32+'IM 1.3'!G32+'IM 1.4'!G32+'IM 1.5 '!G32</f>
        <v>0</v>
      </c>
      <c r="H32" s="81">
        <f>'IM 1.1'!H32+'IM 1.2'!H32+'IM 1.3'!H32+'IM 1.4'!H32+'IM 1.5 '!H32</f>
        <v>4415124.89935769</v>
      </c>
      <c r="I32" s="81"/>
      <c r="J32" s="81">
        <f>'IM 1.1'!J32+'IM 1.2'!J32+'IM 1.3'!J32+'IM 1.4'!J32+'IM 1.5 '!J32</f>
        <v>0</v>
      </c>
      <c r="K32" s="81">
        <f>'IM 1.1'!K32+'IM 1.2'!K32+'IM 1.3'!K32+'IM 1.4'!K32+'IM 1.5 '!K32</f>
        <v>1333924.7962790732</v>
      </c>
      <c r="L32" s="81"/>
      <c r="M32" s="81"/>
    </row>
    <row r="33" spans="1:13" ht="12.75">
      <c r="A33" s="82" t="s">
        <v>18</v>
      </c>
      <c r="B33" s="83">
        <f>B32</f>
        <v>8103648.704410605</v>
      </c>
      <c r="C33" s="83">
        <v>0</v>
      </c>
      <c r="D33" s="83">
        <v>0</v>
      </c>
      <c r="E33" s="81">
        <f>'IM 1.1'!E33+'IM 1.2'!E33+'IM 1.3'!E33+'IM 1.4'!E33+'IM 1.5 '!E33</f>
        <v>9495204.725369792</v>
      </c>
      <c r="F33" s="81"/>
      <c r="G33" s="81">
        <f>'IM 1.1'!G33+'IM 1.2'!G33+'IM 1.3'!G33+'IM 1.4'!G33+'IM 1.5 '!G33</f>
        <v>0</v>
      </c>
      <c r="H33" s="81">
        <f>'IM 1.1'!H33+'IM 1.2'!H33+'IM 1.3'!H33+'IM 1.4'!H33+'IM 1.5 '!H33</f>
        <v>5468505.324291733</v>
      </c>
      <c r="I33" s="81"/>
      <c r="J33" s="81">
        <f>'IM 1.1'!J33+'IM 1.2'!J33+'IM 1.3'!J33+'IM 1.4'!J33+'IM 1.5 '!J33</f>
        <v>0</v>
      </c>
      <c r="K33" s="81">
        <f>'IM 1.1'!K33+'IM 1.2'!K33+'IM 1.3'!K33+'IM 1.4'!K33+'IM 1.5 '!K33</f>
        <v>2912609.9691793257</v>
      </c>
      <c r="L33" s="81"/>
      <c r="M33" s="81"/>
    </row>
    <row r="34" spans="1:13" ht="12.75">
      <c r="A34" s="82" t="s">
        <v>19</v>
      </c>
      <c r="B34" s="83">
        <f>B33</f>
        <v>8103648.704410605</v>
      </c>
      <c r="C34" s="83">
        <v>0</v>
      </c>
      <c r="D34" s="83">
        <v>0</v>
      </c>
      <c r="E34" s="81">
        <f>'IM 1.1'!E34+'IM 1.2'!E34+'IM 1.3'!E34+'IM 1.4'!E34+'IM 1.5 '!E34</f>
        <v>12006311.54148878</v>
      </c>
      <c r="F34" s="81"/>
      <c r="G34" s="81">
        <f>'IM 1.1'!G34+'IM 1.2'!G34+'IM 1.3'!G34+'IM 1.4'!G34+'IM 1.5 '!G34</f>
        <v>0</v>
      </c>
      <c r="H34" s="81">
        <f>'IM 1.1'!H34+'IM 1.2'!H34+'IM 1.3'!H34+'IM 1.4'!H34+'IM 1.5 '!H34</f>
        <v>6599524.452176441</v>
      </c>
      <c r="I34" s="81"/>
      <c r="J34" s="81">
        <f>'IM 1.1'!J34+'IM 1.2'!J34+'IM 1.3'!J34+'IM 1.4'!J34+'IM 1.5 '!J34</f>
        <v>0</v>
      </c>
      <c r="K34" s="81">
        <f>'IM 1.1'!K34+'IM 1.2'!K34+'IM 1.3'!K34+'IM 1.4'!K34+'IM 1.5 '!K34</f>
        <v>4415124.89935769</v>
      </c>
      <c r="L34" s="81"/>
      <c r="M34" s="81"/>
    </row>
    <row r="35" spans="1:13" ht="12.75">
      <c r="A35" s="82" t="s">
        <v>20</v>
      </c>
      <c r="B35" s="83">
        <f>B34+D13</f>
        <v>11922379.88278781</v>
      </c>
      <c r="C35" s="83">
        <v>0</v>
      </c>
      <c r="D35" s="83">
        <v>0</v>
      </c>
      <c r="E35" s="81">
        <f>'IM 1.1'!E35+'IM 1.2'!E35+'IM 1.3'!E35+'IM 1.4'!E35+'IM 1.5 '!E35</f>
        <v>13492637.040126188</v>
      </c>
      <c r="F35" s="81"/>
      <c r="G35" s="81">
        <f>'IM 1.1'!G35+'IM 1.2'!G35+'IM 1.3'!G35+'IM 1.4'!G35+'IM 1.5 '!G35</f>
        <v>0</v>
      </c>
      <c r="H35" s="81">
        <f>'IM 1.1'!H35+'IM 1.2'!H35+'IM 1.3'!H35+'IM 1.4'!H35+'IM 1.5 '!H35</f>
        <v>7695110.994841064</v>
      </c>
      <c r="I35" s="81"/>
      <c r="J35" s="81">
        <f>'IM 1.1'!J35+'IM 1.2'!J35+'IM 1.3'!J35+'IM 1.4'!J35+'IM 1.5 '!J35</f>
        <v>0</v>
      </c>
      <c r="K35" s="81">
        <f>'IM 1.1'!K35+'IM 1.2'!K35+'IM 1.3'!K35+'IM 1.4'!K35+'IM 1.5 '!K35</f>
        <v>5468505.324291733</v>
      </c>
      <c r="L35" s="81"/>
      <c r="M35" s="81"/>
    </row>
    <row r="36" spans="1:13" ht="12.75">
      <c r="A36" s="82" t="s">
        <v>21</v>
      </c>
      <c r="B36" s="83">
        <f>B35</f>
        <v>11922379.88278781</v>
      </c>
      <c r="C36" s="83">
        <v>0</v>
      </c>
      <c r="D36" s="83">
        <v>0</v>
      </c>
      <c r="E36" s="81">
        <f>'IM 1.1'!E36+'IM 1.2'!E36+'IM 1.3'!E36+'IM 1.4'!E36+'IM 1.5 '!E36</f>
        <v>13492637.040126188</v>
      </c>
      <c r="F36" s="81"/>
      <c r="G36" s="81">
        <f>'IM 1.1'!G36+'IM 1.2'!G36+'IM 1.3'!G36+'IM 1.4'!G36+'IM 1.5 '!G36</f>
        <v>0</v>
      </c>
      <c r="H36" s="81">
        <f>'IM 1.1'!H36+'IM 1.2'!H36+'IM 1.3'!H36+'IM 1.4'!H36+'IM 1.5 '!H36</f>
        <v>8782543.438466534</v>
      </c>
      <c r="I36" s="81"/>
      <c r="J36" s="81">
        <f>'IM 1.1'!J36+'IM 1.2'!J36+'IM 1.3'!J36+'IM 1.4'!J36+'IM 1.5 '!J36</f>
        <v>0</v>
      </c>
      <c r="K36" s="81">
        <f>'IM 1.1'!K36+'IM 1.2'!K36+'IM 1.3'!K36+'IM 1.4'!K36+'IM 1.5 '!K36</f>
        <v>6599524.452176441</v>
      </c>
      <c r="L36" s="81"/>
      <c r="M36" s="81"/>
    </row>
    <row r="37" spans="1:13" ht="12.75">
      <c r="A37" s="82" t="s">
        <v>22</v>
      </c>
      <c r="B37" s="83">
        <f>B36</f>
        <v>11922379.88278781</v>
      </c>
      <c r="C37" s="83">
        <v>0</v>
      </c>
      <c r="D37" s="83">
        <v>0</v>
      </c>
      <c r="E37" s="81">
        <f>'IM 1.1'!E37+'IM 1.2'!E37+'IM 1.3'!E37+'IM 1.4'!E37+'IM 1.5 '!E37</f>
        <v>13601286.564880384</v>
      </c>
      <c r="F37" s="81"/>
      <c r="G37" s="81">
        <f>'IM 1.1'!G37+'IM 1.2'!G37+'IM 1.3'!G37+'IM 1.4'!G37+'IM 1.5 '!G37</f>
        <v>0</v>
      </c>
      <c r="H37" s="81">
        <f>'IM 1.1'!H37+'IM 1.2'!H37+'IM 1.3'!H37+'IM 1.4'!H37+'IM 1.5 '!H37</f>
        <v>9807036.081598094</v>
      </c>
      <c r="I37" s="81"/>
      <c r="J37" s="81">
        <f>'IM 1.1'!J37+'IM 1.2'!J37+'IM 1.3'!J37+'IM 1.4'!J37+'IM 1.5 '!J37</f>
        <v>0</v>
      </c>
      <c r="K37" s="81">
        <f>'IM 1.1'!K37+'IM 1.2'!K37+'IM 1.3'!K37+'IM 1.4'!K37+'IM 1.5 '!K37</f>
        <v>7695110.994841064</v>
      </c>
      <c r="L37" s="81"/>
      <c r="M37" s="81"/>
    </row>
    <row r="38" spans="1:13" ht="12.75">
      <c r="A38" s="82" t="s">
        <v>23</v>
      </c>
      <c r="B38" s="83">
        <f>B37</f>
        <v>11922379.88278781</v>
      </c>
      <c r="C38" s="83">
        <f>B26</f>
        <v>1818143.6825470193</v>
      </c>
      <c r="D38" s="83">
        <f>C38-$K$9</f>
        <v>912281.1827015335</v>
      </c>
      <c r="E38" s="81">
        <f>'IM 1.1'!E38+'IM 1.2'!E38+'IM 1.3'!E38+'IM 1.4'!E38+'IM 1.5 '!E38</f>
        <v>14270567.637366233</v>
      </c>
      <c r="F38" s="81"/>
      <c r="G38" s="81">
        <f>'IM 1.1'!G38+'IM 1.2'!G38+'IM 1.3'!G38+'IM 1.4'!G38+'IM 1.5 '!G38</f>
        <v>0</v>
      </c>
      <c r="H38" s="81">
        <f>'IM 1.1'!H38+'IM 1.2'!H38+'IM 1.3'!H38+'IM 1.4'!H38+'IM 1.5 '!H38</f>
        <v>11019585.189248554</v>
      </c>
      <c r="I38" s="81"/>
      <c r="J38" s="81">
        <f>'IM 1.1'!J38+'IM 1.2'!J38+'IM 1.3'!J38+'IM 1.4'!J38+'IM 1.5 '!J38</f>
        <v>0</v>
      </c>
      <c r="K38" s="81">
        <f>'IM 1.1'!K38+'IM 1.2'!K38+'IM 1.3'!K38+'IM 1.4'!K38+'IM 1.5 '!K38</f>
        <v>8782543.438466534</v>
      </c>
      <c r="L38" s="81"/>
      <c r="M38" s="81"/>
    </row>
    <row r="39" spans="1:13" ht="12.75">
      <c r="A39" s="82" t="s">
        <v>24</v>
      </c>
      <c r="B39" s="83">
        <f>B38+D14</f>
        <v>16010700.39984046</v>
      </c>
      <c r="C39" s="83">
        <f>C38</f>
        <v>1818143.6825470193</v>
      </c>
      <c r="D39" s="83">
        <f>C39-$K$9</f>
        <v>912281.1827015335</v>
      </c>
      <c r="E39" s="81">
        <f>'IM 1.1'!E39+'IM 1.2'!E39+'IM 1.3'!E39+'IM 1.4'!E39+'IM 1.5 '!E39</f>
        <v>16959891.373040088</v>
      </c>
      <c r="F39" s="81"/>
      <c r="G39" s="81">
        <f>'IM 1.1'!G39+'IM 1.2'!G39+'IM 1.3'!G39+'IM 1.4'!G39+'IM 1.5 '!G39</f>
        <v>0</v>
      </c>
      <c r="H39" s="81">
        <f>'IM 1.1'!H39+'IM 1.2'!H39+'IM 1.3'!H39+'IM 1.4'!H39+'IM 1.5 '!H39</f>
        <v>12147865.83522484</v>
      </c>
      <c r="I39" s="81"/>
      <c r="J39" s="81">
        <f>'IM 1.1'!J39+'IM 1.2'!J39+'IM 1.3'!J39+'IM 1.4'!J39+'IM 1.5 '!J39</f>
        <v>0</v>
      </c>
      <c r="K39" s="81">
        <f>'IM 1.1'!K39+'IM 1.2'!K39+'IM 1.3'!K39+'IM 1.4'!K39+'IM 1.5 '!K39</f>
        <v>9807036.081598094</v>
      </c>
      <c r="L39" s="81"/>
      <c r="M39" s="81"/>
    </row>
    <row r="40" spans="1:13" ht="12.75">
      <c r="A40" s="82" t="s">
        <v>25</v>
      </c>
      <c r="B40" s="83">
        <f>B39</f>
        <v>16010700.39984046</v>
      </c>
      <c r="C40" s="83">
        <f>C39</f>
        <v>1818143.6825470193</v>
      </c>
      <c r="D40" s="83">
        <f>C40-$K$9</f>
        <v>912281.1827015335</v>
      </c>
      <c r="E40" s="81">
        <f>'IM 1.1'!E40+'IM 1.2'!E40+'IM 1.3'!E40+'IM 1.4'!E40+'IM 1.5 '!E40</f>
        <v>16959891.373040088</v>
      </c>
      <c r="F40" s="81"/>
      <c r="G40" s="81">
        <f>'IM 1.1'!G40+'IM 1.2'!G40+'IM 1.3'!G40+'IM 1.4'!G40+'IM 1.5 '!G40</f>
        <v>0</v>
      </c>
      <c r="H40" s="81">
        <f>'IM 1.1'!H40+'IM 1.2'!H40+'IM 1.3'!H40+'IM 1.4'!H40+'IM 1.5 '!H40</f>
        <v>13276705.591655511</v>
      </c>
      <c r="I40" s="81"/>
      <c r="J40" s="81">
        <f>'IM 1.1'!J40+'IM 1.2'!J40+'IM 1.3'!J40+'IM 1.4'!J40+'IM 1.5 '!J40</f>
        <v>0</v>
      </c>
      <c r="K40" s="81">
        <f>'IM 1.1'!K40+'IM 1.2'!K40+'IM 1.3'!K40+'IM 1.4'!K40+'IM 1.5 '!K40</f>
        <v>11019585.189248554</v>
      </c>
      <c r="L40" s="81"/>
      <c r="M40" s="81"/>
    </row>
    <row r="41" spans="1:13" ht="12.75">
      <c r="A41" s="82" t="s">
        <v>26</v>
      </c>
      <c r="B41" s="83">
        <f>B40</f>
        <v>16010700.39984046</v>
      </c>
      <c r="C41" s="83">
        <f>C40</f>
        <v>1818143.6825470193</v>
      </c>
      <c r="D41" s="83">
        <f>C41-$K$9</f>
        <v>912281.1827015335</v>
      </c>
      <c r="E41" s="81">
        <f>'IM 1.1'!E41+'IM 1.2'!E41+'IM 1.3'!E41+'IM 1.4'!E41+'IM 1.5 '!E41</f>
        <v>17112000.70769596</v>
      </c>
      <c r="F41" s="81"/>
      <c r="G41" s="81">
        <f>'IM 1.1'!G41+'IM 1.2'!G41+'IM 1.3'!G41+'IM 1.4'!G41+'IM 1.5 '!G41</f>
        <v>0</v>
      </c>
      <c r="H41" s="81">
        <f>'IM 1.1'!H41+'IM 1.2'!H41+'IM 1.3'!H41+'IM 1.4'!H41+'IM 1.5 '!H41</f>
        <v>14285845.297468286</v>
      </c>
      <c r="I41" s="81"/>
      <c r="J41" s="81">
        <f>'IM 1.1'!J41+'IM 1.2'!J41+'IM 1.3'!J41+'IM 1.4'!J41+'IM 1.5 '!J41</f>
        <v>0</v>
      </c>
      <c r="K41" s="81">
        <f>'IM 1.1'!K41+'IM 1.2'!K41+'IM 1.3'!K41+'IM 1.4'!K41+'IM 1.5 '!K41</f>
        <v>12147865.83522484</v>
      </c>
      <c r="L41" s="81"/>
      <c r="M41" s="81"/>
    </row>
    <row r="42" spans="1:13" ht="12.75">
      <c r="A42" s="82" t="s">
        <v>27</v>
      </c>
      <c r="B42" s="83">
        <f>B41</f>
        <v>16010700.39984046</v>
      </c>
      <c r="C42" s="83">
        <f>B27</f>
        <v>4479671.234235896</v>
      </c>
      <c r="D42" s="83">
        <f>C42-$K$9</f>
        <v>3573808.73439041</v>
      </c>
      <c r="E42" s="81">
        <f>'IM 1.1'!E42+'IM 1.2'!E42+'IM 1.3'!E42+'IM 1.4'!E42+'IM 1.5 '!E42</f>
        <v>19612243.571339533</v>
      </c>
      <c r="F42" s="81"/>
      <c r="G42" s="81">
        <f>'IM 1.1'!G42+'IM 1.2'!G42+'IM 1.3'!G42+'IM 1.4'!G42+'IM 1.5 '!G42</f>
        <v>0</v>
      </c>
      <c r="H42" s="81">
        <f>'IM 1.1'!H42+'IM 1.2'!H42+'IM 1.3'!H42+'IM 1.4'!H42+'IM 1.5 '!H42</f>
        <v>15173732.13365538</v>
      </c>
      <c r="I42" s="81"/>
      <c r="J42" s="81">
        <f>'IM 1.1'!J42+'IM 1.2'!J42+'IM 1.3'!J42+'IM 1.4'!J42+'IM 1.5 '!J42</f>
        <v>0</v>
      </c>
      <c r="K42" s="81">
        <f>'IM 1.1'!K42+'IM 1.2'!K42+'IM 1.3'!K42+'IM 1.4'!K42+'IM 1.5 '!K42</f>
        <v>13276705.591655511</v>
      </c>
      <c r="L42" s="81"/>
      <c r="M42" s="81"/>
    </row>
    <row r="43" spans="1:13" ht="12.75">
      <c r="A43" s="82" t="s">
        <v>28</v>
      </c>
      <c r="B43" s="83">
        <f>B42+D15</f>
        <v>20370114.50495401</v>
      </c>
      <c r="C43" s="83">
        <f>C42</f>
        <v>4479671.234235896</v>
      </c>
      <c r="D43" s="83">
        <f aca="true" t="shared" si="2" ref="D43:D57">C43-$K$9</f>
        <v>3573808.73439041</v>
      </c>
      <c r="E43" s="81">
        <f>'IM 1.1'!E43+'IM 1.2'!E43+'IM 1.3'!E43+'IM 1.4'!E43+'IM 1.5 '!E43</f>
        <v>20966512.9608059</v>
      </c>
      <c r="F43" s="81"/>
      <c r="G43" s="81">
        <f>'IM 1.1'!G43+'IM 1.2'!G43+'IM 1.3'!G43+'IM 1.4'!G43+'IM 1.5 '!G43</f>
        <v>0</v>
      </c>
      <c r="H43" s="81">
        <f>'IM 1.1'!H43+'IM 1.2'!H43+'IM 1.3'!H43+'IM 1.4'!H43+'IM 1.5 '!H43</f>
        <v>15931759.672908358</v>
      </c>
      <c r="I43" s="81"/>
      <c r="J43" s="81">
        <f>'IM 1.1'!J43+'IM 1.2'!J43+'IM 1.3'!J43+'IM 1.4'!J43+'IM 1.5 '!J43</f>
        <v>0</v>
      </c>
      <c r="K43" s="81">
        <f>'IM 1.1'!K43+'IM 1.2'!K43+'IM 1.3'!K43+'IM 1.4'!K43+'IM 1.5 '!K43</f>
        <v>14285845.297468286</v>
      </c>
      <c r="L43" s="81"/>
      <c r="M43" s="81"/>
    </row>
    <row r="44" spans="1:13" ht="12.75">
      <c r="A44" s="82" t="s">
        <v>29</v>
      </c>
      <c r="B44" s="83">
        <f>B43</f>
        <v>20370114.50495401</v>
      </c>
      <c r="C44" s="83">
        <f>C43</f>
        <v>4479671.234235896</v>
      </c>
      <c r="D44" s="83">
        <f t="shared" si="2"/>
        <v>3573808.73439041</v>
      </c>
      <c r="E44" s="81">
        <f>'IM 1.1'!E44+'IM 1.2'!E44+'IM 1.3'!E44+'IM 1.4'!E44+'IM 1.5 '!E44</f>
        <v>21379381.154871844</v>
      </c>
      <c r="F44" s="81"/>
      <c r="G44" s="81">
        <f>'IM 1.1'!G44+'IM 1.2'!G44+'IM 1.3'!G44+'IM 1.4'!G44+'IM 1.5 '!G44</f>
        <v>0</v>
      </c>
      <c r="H44" s="81">
        <f>'IM 1.1'!H44+'IM 1.2'!H44+'IM 1.3'!H44+'IM 1.4'!H44+'IM 1.5 '!H44</f>
        <v>16914648.26859262</v>
      </c>
      <c r="I44" s="81"/>
      <c r="J44" s="81">
        <f>'IM 1.1'!J44+'IM 1.2'!J44+'IM 1.3'!J44+'IM 1.4'!J44+'IM 1.5 '!J44</f>
        <v>0</v>
      </c>
      <c r="K44" s="81">
        <f>'IM 1.1'!K44+'IM 1.2'!K44+'IM 1.3'!K44+'IM 1.4'!K44+'IM 1.5 '!K44</f>
        <v>15173732.13365538</v>
      </c>
      <c r="L44" s="81"/>
      <c r="M44" s="81"/>
    </row>
    <row r="45" spans="1:13" ht="12.75">
      <c r="A45" s="82" t="s">
        <v>30</v>
      </c>
      <c r="B45" s="83">
        <f>B44</f>
        <v>20370114.50495401</v>
      </c>
      <c r="C45" s="83">
        <f>C44</f>
        <v>4479671.234235896</v>
      </c>
      <c r="D45" s="83">
        <f t="shared" si="2"/>
        <v>3573808.73439041</v>
      </c>
      <c r="E45" s="81">
        <f>'IM 1.1'!E45+'IM 1.2'!E45+'IM 1.3'!E45+'IM 1.4'!E45+'IM 1.5 '!E45</f>
        <v>21379381.154871844</v>
      </c>
      <c r="F45" s="81"/>
      <c r="G45" s="81">
        <f>'IM 1.1'!G45+'IM 1.2'!G45+'IM 1.3'!G45+'IM 1.4'!G45+'IM 1.5 '!G45</f>
        <v>0</v>
      </c>
      <c r="H45" s="81">
        <f>'IM 1.1'!H45+'IM 1.2'!H45+'IM 1.3'!H45+'IM 1.4'!H45+'IM 1.5 '!H45</f>
        <v>17961137.080042057</v>
      </c>
      <c r="I45" s="81"/>
      <c r="J45" s="81">
        <f>'IM 1.1'!J45+'IM 1.2'!J45+'IM 1.3'!J45+'IM 1.4'!J45+'IM 1.5 '!J45</f>
        <v>0</v>
      </c>
      <c r="K45" s="81">
        <f>'IM 1.1'!K45+'IM 1.2'!K45+'IM 1.3'!K45+'IM 1.4'!K45+'IM 1.5 '!K45</f>
        <v>15931759.672908358</v>
      </c>
      <c r="L45" s="81"/>
      <c r="M45" s="81"/>
    </row>
    <row r="46" spans="1:13" ht="12.75">
      <c r="A46" s="82" t="s">
        <v>31</v>
      </c>
      <c r="B46" s="83">
        <f>B45</f>
        <v>20370114.50495401</v>
      </c>
      <c r="C46" s="83">
        <f>B34</f>
        <v>8103648.704410605</v>
      </c>
      <c r="D46" s="83">
        <f t="shared" si="2"/>
        <v>7197786.204565119</v>
      </c>
      <c r="E46" s="81">
        <f>'IM 1.1'!E46+'IM 1.2'!E46+'IM 1.3'!E46+'IM 1.4'!E46+'IM 1.5 '!E46</f>
        <v>23726210.889562488</v>
      </c>
      <c r="F46" s="81"/>
      <c r="G46" s="81">
        <f>'IM 1.1'!G46+'IM 1.2'!G46+'IM 1.3'!G46+'IM 1.4'!G46+'IM 1.5 '!G46</f>
        <v>0</v>
      </c>
      <c r="H46" s="81">
        <f>'IM 1.1'!H46+'IM 1.2'!H46+'IM 1.3'!H46+'IM 1.4'!H46+'IM 1.5 '!H46</f>
        <v>18986113.285590157</v>
      </c>
      <c r="I46" s="81"/>
      <c r="J46" s="81">
        <f>'IM 1.1'!J46+'IM 1.2'!J46+'IM 1.3'!J46+'IM 1.4'!J46+'IM 1.5 '!J46</f>
        <v>0</v>
      </c>
      <c r="K46" s="81">
        <f>'IM 1.1'!K46+'IM 1.2'!K46+'IM 1.3'!K46+'IM 1.4'!K46+'IM 1.5 '!K46</f>
        <v>16914648.26859262</v>
      </c>
      <c r="L46" s="81"/>
      <c r="M46" s="81"/>
    </row>
    <row r="47" spans="1:13" ht="12.75">
      <c r="A47" s="82" t="s">
        <v>32</v>
      </c>
      <c r="B47" s="83">
        <f>B46+D16</f>
        <v>25000000</v>
      </c>
      <c r="C47" s="83">
        <f>C46</f>
        <v>8103648.704410605</v>
      </c>
      <c r="D47" s="83">
        <f t="shared" si="2"/>
        <v>7197786.204565119</v>
      </c>
      <c r="E47" s="81">
        <f>'IM 1.1'!E47+'IM 1.2'!E47+'IM 1.3'!E47+'IM 1.4'!E47+'IM 1.5 '!E47</f>
        <v>25173620.816693164</v>
      </c>
      <c r="F47" s="81"/>
      <c r="G47" s="81">
        <f>'IM 1.1'!G47+'IM 1.2'!G47+'IM 1.3'!G47+'IM 1.4'!G47+'IM 1.5 '!G47</f>
        <v>0</v>
      </c>
      <c r="H47" s="81">
        <f>'IM 1.1'!H47+'IM 1.2'!H47+'IM 1.3'!H47+'IM 1.4'!H47+'IM 1.5 '!H47</f>
        <v>19864472.738763567</v>
      </c>
      <c r="I47" s="81"/>
      <c r="J47" s="81">
        <f>'IM 1.1'!J47+'IM 1.2'!J47+'IM 1.3'!J47+'IM 1.4'!J47+'IM 1.5 '!J47</f>
        <v>0</v>
      </c>
      <c r="K47" s="81">
        <f>'IM 1.1'!K47+'IM 1.2'!K47+'IM 1.3'!K47+'IM 1.4'!K47+'IM 1.5 '!K47</f>
        <v>17961137.080042057</v>
      </c>
      <c r="L47" s="81"/>
      <c r="M47" s="81"/>
    </row>
    <row r="48" spans="1:13" ht="12.75">
      <c r="A48" s="82" t="s">
        <v>33</v>
      </c>
      <c r="B48" s="83">
        <f>$B$47</f>
        <v>25000000</v>
      </c>
      <c r="C48" s="83">
        <f>C47</f>
        <v>8103648.704410605</v>
      </c>
      <c r="D48" s="83">
        <f t="shared" si="2"/>
        <v>7197786.204565119</v>
      </c>
      <c r="E48" s="81">
        <f>'IM 1.1'!E48+'IM 1.2'!E48+'IM 1.3'!E48+'IM 1.4'!E48+'IM 1.5 '!E48</f>
        <v>26438645.921124533</v>
      </c>
      <c r="F48" s="81"/>
      <c r="G48" s="81">
        <f>'IM 1.1'!G48+'IM 1.2'!G48+'IM 1.3'!G48+'IM 1.4'!G48+'IM 1.5 '!G48</f>
        <v>0</v>
      </c>
      <c r="H48" s="81">
        <f>'IM 1.1'!H48+'IM 1.2'!H48+'IM 1.3'!H48+'IM 1.4'!H48+'IM 1.5 '!H48</f>
        <v>20641614.29467597</v>
      </c>
      <c r="I48" s="81"/>
      <c r="J48" s="81">
        <f>'IM 1.1'!J48+'IM 1.2'!J48+'IM 1.3'!J48+'IM 1.4'!J48+'IM 1.5 '!J48</f>
        <v>0</v>
      </c>
      <c r="K48" s="81">
        <f>'IM 1.1'!K48+'IM 1.2'!K48+'IM 1.3'!K48+'IM 1.4'!K48+'IM 1.5 '!K48</f>
        <v>18986113.285590157</v>
      </c>
      <c r="L48" s="81"/>
      <c r="M48" s="81"/>
    </row>
    <row r="49" spans="1:13" ht="12.75">
      <c r="A49" s="82" t="s">
        <v>34</v>
      </c>
      <c r="B49" s="83">
        <f aca="true" t="shared" si="3" ref="B49:B58">$B$47</f>
        <v>25000000</v>
      </c>
      <c r="C49" s="83">
        <f>C48</f>
        <v>8103648.704410605</v>
      </c>
      <c r="D49" s="83">
        <f t="shared" si="2"/>
        <v>7197786.204565119</v>
      </c>
      <c r="E49" s="81">
        <f>'IM 1.1'!E49+'IM 1.2'!E49+'IM 1.3'!E49+'IM 1.4'!E49+'IM 1.5 '!E49</f>
        <v>26438645.921124533</v>
      </c>
      <c r="F49" s="81"/>
      <c r="G49" s="81">
        <f>'IM 1.1'!G49+'IM 1.2'!G49+'IM 1.3'!G49+'IM 1.4'!G49+'IM 1.5 '!G49</f>
        <v>0</v>
      </c>
      <c r="H49" s="81">
        <f>'IM 1.1'!H49+'IM 1.2'!H49+'IM 1.3'!H49+'IM 1.4'!H49+'IM 1.5 '!H49</f>
        <v>21432956.400788106</v>
      </c>
      <c r="I49" s="81"/>
      <c r="J49" s="81">
        <f>'IM 1.1'!J49+'IM 1.2'!J49+'IM 1.3'!J49+'IM 1.4'!J49+'IM 1.5 '!J49</f>
        <v>0</v>
      </c>
      <c r="K49" s="81">
        <f>'IM 1.1'!K49+'IM 1.2'!K49+'IM 1.3'!K49+'IM 1.4'!K49+'IM 1.5 '!K49</f>
        <v>19864472.738763567</v>
      </c>
      <c r="L49" s="81"/>
      <c r="M49" s="81"/>
    </row>
    <row r="50" spans="1:13" ht="12.75">
      <c r="A50" s="82" t="s">
        <v>35</v>
      </c>
      <c r="B50" s="83">
        <f t="shared" si="3"/>
        <v>25000000</v>
      </c>
      <c r="C50" s="83">
        <f>B35+D14</f>
        <v>16010700.39984046</v>
      </c>
      <c r="D50" s="83">
        <f t="shared" si="2"/>
        <v>15104837.899994973</v>
      </c>
      <c r="E50" s="81">
        <f>'IM 1.1'!E50+'IM 1.2'!E50+'IM 1.3'!E50+'IM 1.4'!E50+'IM 1.5 '!E50</f>
        <v>26438645.921124533</v>
      </c>
      <c r="F50" s="81"/>
      <c r="G50" s="81">
        <f>'IM 1.1'!G50+'IM 1.2'!G50+'IM 1.3'!G50+'IM 1.4'!G50+'IM 1.5 '!G50</f>
        <v>0</v>
      </c>
      <c r="H50" s="81">
        <f>'IM 1.1'!H50+'IM 1.2'!H50+'IM 1.3'!H50+'IM 1.4'!H50+'IM 1.5 '!H50</f>
        <v>22127448.296900246</v>
      </c>
      <c r="I50" s="81"/>
      <c r="J50" s="81">
        <f>'IM 1.1'!J50+'IM 1.2'!J50+'IM 1.3'!J50+'IM 1.4'!J50+'IM 1.5 '!J50</f>
        <v>0</v>
      </c>
      <c r="K50" s="81">
        <f>'IM 1.1'!K50+'IM 1.2'!K50+'IM 1.3'!K50+'IM 1.4'!K50+'IM 1.5 '!K50</f>
        <v>20641614.29467597</v>
      </c>
      <c r="L50" s="81"/>
      <c r="M50" s="81"/>
    </row>
    <row r="51" spans="1:13" ht="12.75">
      <c r="A51" s="82" t="s">
        <v>36</v>
      </c>
      <c r="B51" s="83">
        <f t="shared" si="3"/>
        <v>25000000</v>
      </c>
      <c r="C51" s="83">
        <f>C50</f>
        <v>16010700.39984046</v>
      </c>
      <c r="D51" s="83">
        <f t="shared" si="2"/>
        <v>15104837.899994973</v>
      </c>
      <c r="E51" s="81">
        <f>'IM 1.1'!E51+'IM 1.2'!E51+'IM 1.3'!E51+'IM 1.4'!E51+'IM 1.5 '!E51</f>
        <v>26438645.921124533</v>
      </c>
      <c r="F51" s="81"/>
      <c r="G51" s="81">
        <f>'IM 1.1'!G51+'IM 1.2'!G51+'IM 1.3'!G51+'IM 1.4'!G51+'IM 1.5 '!G51</f>
        <v>0</v>
      </c>
      <c r="H51" s="81">
        <f>'IM 1.1'!H51+'IM 1.2'!H51+'IM 1.3'!H51+'IM 1.4'!H51+'IM 1.5 '!H51</f>
        <v>22768691.52514176</v>
      </c>
      <c r="I51" s="81"/>
      <c r="J51" s="81">
        <f>'IM 1.1'!J51+'IM 1.2'!J51+'IM 1.3'!J51+'IM 1.4'!J51+'IM 1.5 '!J51</f>
        <v>0</v>
      </c>
      <c r="K51" s="81">
        <f>'IM 1.1'!K51+'IM 1.2'!K51+'IM 1.3'!K51+'IM 1.4'!K51+'IM 1.5 '!K51</f>
        <v>21432956.400788106</v>
      </c>
      <c r="L51" s="81"/>
      <c r="M51" s="81"/>
    </row>
    <row r="52" spans="1:13" ht="12.75">
      <c r="A52" s="82" t="s">
        <v>37</v>
      </c>
      <c r="B52" s="83">
        <f t="shared" si="3"/>
        <v>25000000</v>
      </c>
      <c r="C52" s="83">
        <f>C51</f>
        <v>16010700.39984046</v>
      </c>
      <c r="D52" s="83">
        <f t="shared" si="2"/>
        <v>15104837.899994973</v>
      </c>
      <c r="E52" s="81">
        <f>'IM 1.1'!E52+'IM 1.2'!E52+'IM 1.3'!E52+'IM 1.4'!E52+'IM 1.5 '!E52</f>
        <v>26438645.921124533</v>
      </c>
      <c r="F52" s="81"/>
      <c r="G52" s="81">
        <f>'IM 1.1'!G52+'IM 1.2'!G52+'IM 1.3'!G52+'IM 1.4'!G52+'IM 1.5 '!G52</f>
        <v>0</v>
      </c>
      <c r="H52" s="81">
        <f>'IM 1.1'!H52+'IM 1.2'!H52+'IM 1.3'!H52+'IM 1.4'!H52+'IM 1.5 '!H52</f>
        <v>23292543.66704724</v>
      </c>
      <c r="I52" s="81"/>
      <c r="J52" s="81">
        <f>'IM 1.1'!J52+'IM 1.2'!J52+'IM 1.3'!J52+'IM 1.4'!J52+'IM 1.5 '!J52</f>
        <v>0</v>
      </c>
      <c r="K52" s="81">
        <f>'IM 1.1'!K52+'IM 1.2'!K52+'IM 1.3'!K52+'IM 1.4'!K52+'IM 1.5 '!K52</f>
        <v>22205157.506900247</v>
      </c>
      <c r="L52" s="81"/>
      <c r="M52" s="81"/>
    </row>
    <row r="53" spans="1:13" ht="12.75">
      <c r="A53" s="82" t="s">
        <v>38</v>
      </c>
      <c r="B53" s="83">
        <f t="shared" si="3"/>
        <v>25000000</v>
      </c>
      <c r="C53" s="83">
        <f>C52</f>
        <v>16010700.39984046</v>
      </c>
      <c r="D53" s="83">
        <f t="shared" si="2"/>
        <v>15104837.899994973</v>
      </c>
      <c r="E53" s="81">
        <f>'IM 1.1'!E53+'IM 1.2'!E53+'IM 1.3'!E53+'IM 1.4'!E53+'IM 1.5 '!E53</f>
        <v>26438645.921124533</v>
      </c>
      <c r="F53" s="81"/>
      <c r="G53" s="81">
        <f>'IM 1.1'!G53+'IM 1.2'!G53+'IM 1.3'!G53+'IM 1.4'!G53+'IM 1.5 '!G53</f>
        <v>0</v>
      </c>
      <c r="H53" s="81">
        <f>'IM 1.1'!H53+'IM 1.2'!H53+'IM 1.3'!H53+'IM 1.4'!H53+'IM 1.5 '!H53</f>
        <v>23734908.66538708</v>
      </c>
      <c r="I53" s="81"/>
      <c r="J53" s="81">
        <f>'IM 1.1'!J53+'IM 1.2'!J53+'IM 1.3'!J53+'IM 1.4'!J53+'IM 1.5 '!J53</f>
        <v>0</v>
      </c>
      <c r="K53" s="81">
        <f>'IM 1.1'!K53+'IM 1.2'!K53+'IM 1.3'!K53+'IM 1.4'!K53+'IM 1.5 '!K53</f>
        <v>22768691.52514176</v>
      </c>
      <c r="L53" s="81"/>
      <c r="M53" s="81"/>
    </row>
    <row r="54" spans="1:13" ht="12.75">
      <c r="A54" s="82" t="s">
        <v>39</v>
      </c>
      <c r="B54" s="83">
        <f t="shared" si="3"/>
        <v>25000000</v>
      </c>
      <c r="C54" s="83">
        <f>B46</f>
        <v>20370114.50495401</v>
      </c>
      <c r="D54" s="83">
        <f t="shared" si="2"/>
        <v>19464252.005108524</v>
      </c>
      <c r="E54" s="81">
        <f>'IM 1.1'!E54+'IM 1.2'!E54+'IM 1.3'!E54+'IM 1.4'!E54+'IM 1.5 '!E54</f>
        <v>26438645.921124533</v>
      </c>
      <c r="F54" s="81"/>
      <c r="G54" s="81">
        <f>'IM 1.1'!G54+'IM 1.2'!G54+'IM 1.3'!G54+'IM 1.4'!G54+'IM 1.5 '!G54</f>
        <v>0</v>
      </c>
      <c r="H54" s="81">
        <f>'IM 1.1'!H54+'IM 1.2'!H54+'IM 1.3'!H54+'IM 1.4'!H54+'IM 1.5 '!H54</f>
        <v>24071666.32566583</v>
      </c>
      <c r="I54" s="81"/>
      <c r="J54" s="81">
        <f>'IM 1.1'!J54+'IM 1.2'!J54+'IM 1.3'!J54+'IM 1.4'!J54+'IM 1.5 '!J54</f>
        <v>0</v>
      </c>
      <c r="K54" s="81">
        <f>'IM 1.1'!K54+'IM 1.2'!K54+'IM 1.3'!K54+'IM 1.4'!K54+'IM 1.5 '!K54</f>
        <v>23292543.66704724</v>
      </c>
      <c r="L54" s="81"/>
      <c r="M54" s="81"/>
    </row>
    <row r="55" spans="1:13" ht="12.75">
      <c r="A55" s="82" t="s">
        <v>40</v>
      </c>
      <c r="B55" s="83">
        <f t="shared" si="3"/>
        <v>25000000</v>
      </c>
      <c r="C55" s="83">
        <f>C54</f>
        <v>20370114.50495401</v>
      </c>
      <c r="D55" s="83">
        <f t="shared" si="2"/>
        <v>19464252.005108524</v>
      </c>
      <c r="E55" s="81">
        <f>'IM 1.1'!E55+'IM 1.2'!E55+'IM 1.3'!E55+'IM 1.4'!E55+'IM 1.5 '!E55</f>
        <v>26438645.921124533</v>
      </c>
      <c r="F55" s="81"/>
      <c r="G55" s="81">
        <f>'IM 1.1'!G55+'IM 1.2'!G55+'IM 1.3'!G55+'IM 1.4'!G55+'IM 1.5 '!G55</f>
        <v>0</v>
      </c>
      <c r="H55" s="81">
        <f>'IM 1.1'!H55+'IM 1.2'!H55+'IM 1.3'!H55+'IM 1.4'!H55+'IM 1.5 '!H55</f>
        <v>24376263.72661735</v>
      </c>
      <c r="I55" s="81"/>
      <c r="J55" s="81">
        <f>'IM 1.1'!J55+'IM 1.2'!J55+'IM 1.3'!J55+'IM 1.4'!J55+'IM 1.5 '!J55</f>
        <v>0</v>
      </c>
      <c r="K55" s="81">
        <f>'IM 1.1'!K55+'IM 1.2'!K55+'IM 1.3'!K55+'IM 1.4'!K55+'IM 1.5 '!K55</f>
        <v>23734908.66538708</v>
      </c>
      <c r="L55" s="81"/>
      <c r="M55" s="81"/>
    </row>
    <row r="56" spans="1:13" ht="12.75">
      <c r="A56" s="82" t="s">
        <v>41</v>
      </c>
      <c r="B56" s="83">
        <f t="shared" si="3"/>
        <v>25000000</v>
      </c>
      <c r="C56" s="83">
        <f>C55</f>
        <v>20370114.50495401</v>
      </c>
      <c r="D56" s="83">
        <f t="shared" si="2"/>
        <v>19464252.005108524</v>
      </c>
      <c r="E56" s="81">
        <f>'IM 1.1'!E56+'IM 1.2'!E56+'IM 1.3'!E56+'IM 1.4'!E56+'IM 1.5 '!E56</f>
        <v>26438645.921124533</v>
      </c>
      <c r="F56" s="81"/>
      <c r="G56" s="81">
        <f>'IM 1.1'!G56+'IM 1.2'!G56+'IM 1.3'!G56+'IM 1.4'!G56+'IM 1.5 '!G56</f>
        <v>0</v>
      </c>
      <c r="H56" s="81">
        <f>'IM 1.1'!H56+'IM 1.2'!H56+'IM 1.3'!H56+'IM 1.4'!H56+'IM 1.5 '!H56</f>
        <v>25011407.44550038</v>
      </c>
      <c r="I56" s="81"/>
      <c r="J56" s="81">
        <f>'IM 1.1'!J56+'IM 1.2'!J56+'IM 1.3'!J56+'IM 1.4'!J56+'IM 1.5 '!J56</f>
        <v>0</v>
      </c>
      <c r="K56" s="81">
        <f>'IM 1.1'!K56+'IM 1.2'!K56+'IM 1.3'!K56+'IM 1.4'!K56+'IM 1.5 '!K56</f>
        <v>24071666.32566583</v>
      </c>
      <c r="L56" s="81"/>
      <c r="M56" s="81"/>
    </row>
    <row r="57" spans="1:13" ht="12.75">
      <c r="A57" s="82" t="s">
        <v>42</v>
      </c>
      <c r="B57" s="83">
        <f t="shared" si="3"/>
        <v>25000000</v>
      </c>
      <c r="C57" s="83">
        <f>C56</f>
        <v>20370114.50495401</v>
      </c>
      <c r="D57" s="83">
        <f t="shared" si="2"/>
        <v>19464252.005108524</v>
      </c>
      <c r="E57" s="81">
        <f>'IM 1.1'!E57+'IM 1.2'!E57+'IM 1.3'!E57+'IM 1.4'!E57+'IM 1.5 '!E57</f>
        <v>26438645.921124533</v>
      </c>
      <c r="F57" s="81"/>
      <c r="G57" s="81">
        <f>'IM 1.1'!G57+'IM 1.2'!G57+'IM 1.3'!G57+'IM 1.4'!G57+'IM 1.5 '!G57</f>
        <v>0</v>
      </c>
      <c r="H57" s="81">
        <f>'IM 1.1'!H57+'IM 1.2'!H57+'IM 1.3'!H57+'IM 1.4'!H57+'IM 1.5 '!H57</f>
        <v>25011407.44550038</v>
      </c>
      <c r="I57" s="81"/>
      <c r="J57" s="81">
        <f>'IM 1.1'!J57+'IM 1.2'!J57+'IM 1.3'!J57+'IM 1.4'!J57+'IM 1.5 '!J57</f>
        <v>0</v>
      </c>
      <c r="K57" s="81">
        <f>'IM 1.1'!K57+'IM 1.2'!K57+'IM 1.3'!K57+'IM 1.4'!K57+'IM 1.5 '!K57</f>
        <v>24376263.72661735</v>
      </c>
      <c r="L57" s="81"/>
      <c r="M57" s="81"/>
    </row>
    <row r="58" spans="1:13" ht="12.75">
      <c r="A58" s="82" t="s">
        <v>43</v>
      </c>
      <c r="B58" s="83">
        <f t="shared" si="3"/>
        <v>25000000</v>
      </c>
      <c r="C58" s="83">
        <f>B47</f>
        <v>25000000</v>
      </c>
      <c r="D58" s="83">
        <f>C58</f>
        <v>25000000</v>
      </c>
      <c r="E58" s="81">
        <f>'IM 1.1'!E58+'IM 1.2'!E58+'IM 1.3'!E58+'IM 1.4'!E58+'IM 1.5 '!E58</f>
        <v>26438645.921124533</v>
      </c>
      <c r="F58" s="81"/>
      <c r="G58" s="81">
        <f>'IM 1.1'!G58+'IM 1.2'!G58+'IM 1.3'!G58+'IM 1.4'!G58+'IM 1.5 '!G58</f>
        <v>0</v>
      </c>
      <c r="H58" s="81">
        <f>'IM 1.1'!H58+'IM 1.2'!H58+'IM 1.3'!H58+'IM 1.4'!H58+'IM 1.5 '!H58</f>
        <v>25011407.44550038</v>
      </c>
      <c r="I58" s="81"/>
      <c r="J58" s="81">
        <f>'IM 1.1'!J58+'IM 1.2'!J58+'IM 1.3'!J58+'IM 1.4'!J58+'IM 1.5 '!J58</f>
        <v>0</v>
      </c>
      <c r="K58" s="81">
        <f>'IM 1.1'!K58+'IM 1.2'!K58+'IM 1.3'!K58+'IM 1.4'!K58+'IM 1.5 '!K58</f>
        <v>25011407.44550038</v>
      </c>
      <c r="L58" s="81"/>
      <c r="M58" s="81"/>
    </row>
  </sheetData>
  <mergeCells count="2">
    <mergeCell ref="A7:C7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  <colBreaks count="1" manualBreakCount="1">
    <brk id="1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O58"/>
  <sheetViews>
    <sheetView view="pageBreakPreview" zoomScaleSheetLayoutView="100" workbookViewId="0" topLeftCell="B22">
      <selection activeCell="H17" sqref="H17"/>
    </sheetView>
  </sheetViews>
  <sheetFormatPr defaultColWidth="9.140625" defaultRowHeight="12.75"/>
  <cols>
    <col min="1" max="1" width="14.140625" style="0" customWidth="1"/>
    <col min="2" max="2" width="13.421875" style="0" bestFit="1" customWidth="1"/>
    <col min="3" max="3" width="17.8515625" style="0" customWidth="1"/>
    <col min="4" max="4" width="18.57421875" style="0" customWidth="1"/>
    <col min="5" max="6" width="16.140625" style="0" customWidth="1"/>
    <col min="7" max="7" width="13.28125" style="0" customWidth="1"/>
    <col min="8" max="9" width="11.140625" style="0" customWidth="1"/>
    <col min="10" max="10" width="14.140625" style="0" customWidth="1"/>
    <col min="11" max="11" width="13.57421875" style="0" customWidth="1"/>
    <col min="12" max="12" width="15.7109375" style="0" customWidth="1"/>
    <col min="13" max="15" width="13.421875" style="0" bestFit="1" customWidth="1"/>
  </cols>
  <sheetData>
    <row r="2" spans="1:15" ht="55.5" customHeight="1">
      <c r="A2" s="139" t="s">
        <v>163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03"/>
      <c r="O2" s="103"/>
    </row>
    <row r="4" spans="1:9" ht="15.75">
      <c r="A4" s="25" t="s">
        <v>61</v>
      </c>
      <c r="G4" s="25" t="s">
        <v>53</v>
      </c>
      <c r="H4" s="25"/>
      <c r="I4" s="25"/>
    </row>
    <row r="5" spans="1:9" ht="15.75">
      <c r="A5" t="s">
        <v>143</v>
      </c>
      <c r="C5" s="26">
        <f>H11</f>
        <v>13637210</v>
      </c>
      <c r="G5" s="25"/>
      <c r="H5" s="25"/>
      <c r="I5" s="25"/>
    </row>
    <row r="6" spans="1:3" ht="12.75">
      <c r="A6" t="s">
        <v>54</v>
      </c>
      <c r="C6" s="26">
        <f>H12*0.07</f>
        <v>3380755.91</v>
      </c>
    </row>
    <row r="7" spans="1:13" ht="12.75">
      <c r="A7" s="137" t="s">
        <v>0</v>
      </c>
      <c r="B7" s="138"/>
      <c r="C7" s="138"/>
      <c r="D7" s="71"/>
      <c r="E7" s="69"/>
      <c r="F7" s="69"/>
      <c r="G7" s="31" t="s">
        <v>48</v>
      </c>
      <c r="H7" s="32"/>
      <c r="I7" s="32"/>
      <c r="J7" s="42"/>
      <c r="K7" s="125"/>
      <c r="L7" s="16"/>
      <c r="M7" s="16"/>
    </row>
    <row r="8" spans="1:12" ht="82.5" customHeight="1">
      <c r="A8" s="86" t="s">
        <v>1</v>
      </c>
      <c r="B8" s="85" t="s">
        <v>2</v>
      </c>
      <c r="C8" s="85" t="s">
        <v>47</v>
      </c>
      <c r="D8" s="85" t="s">
        <v>132</v>
      </c>
      <c r="E8" s="16"/>
      <c r="F8" s="16"/>
      <c r="G8" s="92"/>
      <c r="H8" s="93" t="s">
        <v>44</v>
      </c>
      <c r="I8" s="93" t="s">
        <v>49</v>
      </c>
      <c r="J8" s="93" t="s">
        <v>45</v>
      </c>
      <c r="K8" s="12"/>
      <c r="L8" s="126"/>
    </row>
    <row r="9" spans="1:12" ht="15.75">
      <c r="A9" s="21"/>
      <c r="B9" s="22"/>
      <c r="C9" s="27"/>
      <c r="D9" s="30"/>
      <c r="E9" s="16"/>
      <c r="F9" s="16"/>
      <c r="G9" s="109" t="s">
        <v>50</v>
      </c>
      <c r="H9" s="110">
        <v>25000000</v>
      </c>
      <c r="I9" s="111">
        <f>H9/$H$12</f>
        <v>0.5176357141974204</v>
      </c>
      <c r="J9" s="110">
        <f>I9*$C$6</f>
        <v>1750000</v>
      </c>
      <c r="K9" s="127"/>
      <c r="L9" s="126"/>
    </row>
    <row r="10" spans="1:12" ht="12.75">
      <c r="A10" s="2">
        <v>2007</v>
      </c>
      <c r="B10" s="23">
        <v>3512400</v>
      </c>
      <c r="C10" s="28">
        <f aca="true" t="shared" si="0" ref="C10:C16">B10/$B$17</f>
        <v>0.07272574730188078</v>
      </c>
      <c r="D10" s="9">
        <f aca="true" t="shared" si="1" ref="D10:D16">C10*$C$5</f>
        <v>991776.2883626815</v>
      </c>
      <c r="E10" s="16"/>
      <c r="F10" s="16"/>
      <c r="G10" s="97" t="s">
        <v>51</v>
      </c>
      <c r="H10" s="98">
        <v>9659303</v>
      </c>
      <c r="I10" s="99">
        <f>H10/$H$12</f>
        <v>0.20000000828217143</v>
      </c>
      <c r="J10" s="98">
        <f>I10*$C$6</f>
        <v>676151.2100000001</v>
      </c>
      <c r="K10" s="130"/>
      <c r="L10" s="126"/>
    </row>
    <row r="11" spans="1:12" ht="12.75">
      <c r="A11" s="2">
        <v>2008</v>
      </c>
      <c r="B11" s="23">
        <v>5141700</v>
      </c>
      <c r="C11" s="28">
        <f t="shared" si="0"/>
        <v>0.10646110206755506</v>
      </c>
      <c r="D11" s="9">
        <f t="shared" si="1"/>
        <v>1451832.4057266826</v>
      </c>
      <c r="E11" s="16"/>
      <c r="F11" s="16"/>
      <c r="G11" s="94" t="s">
        <v>52</v>
      </c>
      <c r="H11" s="95">
        <v>13637210</v>
      </c>
      <c r="I11" s="96">
        <f>H11/$H$12</f>
        <v>0.28236427752040816</v>
      </c>
      <c r="J11" s="95">
        <f>I11*$C$6</f>
        <v>954604.7000000001</v>
      </c>
      <c r="K11" s="131"/>
      <c r="L11" s="126"/>
    </row>
    <row r="12" spans="1:12" ht="12.75">
      <c r="A12" s="2">
        <v>2009</v>
      </c>
      <c r="B12" s="23">
        <v>7001019</v>
      </c>
      <c r="C12" s="28">
        <f t="shared" si="0"/>
        <v>0.1449590988069884</v>
      </c>
      <c r="D12" s="9">
        <f t="shared" si="1"/>
        <v>1976837.6718416503</v>
      </c>
      <c r="E12" s="16"/>
      <c r="F12" s="16"/>
      <c r="G12" s="92" t="s">
        <v>46</v>
      </c>
      <c r="H12" s="100">
        <f>SUM(H9:H11)</f>
        <v>48296513</v>
      </c>
      <c r="I12" s="92"/>
      <c r="J12" s="102">
        <f>SUM(J9:J11)</f>
        <v>3380755.91</v>
      </c>
      <c r="K12" s="112"/>
      <c r="L12" s="126"/>
    </row>
    <row r="13" spans="1:12" ht="12.75">
      <c r="A13" s="2">
        <v>2010</v>
      </c>
      <c r="B13" s="23">
        <v>7377256</v>
      </c>
      <c r="C13" s="28">
        <f t="shared" si="0"/>
        <v>0.1527492471350882</v>
      </c>
      <c r="D13" s="9">
        <f t="shared" si="1"/>
        <v>2083073.560523096</v>
      </c>
      <c r="E13" s="16"/>
      <c r="F13" s="16"/>
      <c r="K13" s="126"/>
      <c r="L13" s="126"/>
    </row>
    <row r="14" spans="1:6" ht="12.75">
      <c r="A14" s="2">
        <v>2011</v>
      </c>
      <c r="B14" s="23">
        <v>7898065</v>
      </c>
      <c r="C14" s="28">
        <f t="shared" si="0"/>
        <v>0.16353282068210598</v>
      </c>
      <c r="D14" s="9">
        <f t="shared" si="1"/>
        <v>2230131.4175342224</v>
      </c>
      <c r="E14" s="16"/>
      <c r="F14" s="16"/>
    </row>
    <row r="15" spans="1:6" ht="12.75">
      <c r="A15" s="2">
        <v>2012</v>
      </c>
      <c r="B15" s="23">
        <v>8421780</v>
      </c>
      <c r="C15" s="28">
        <f t="shared" si="0"/>
        <v>0.17437656420454206</v>
      </c>
      <c r="D15" s="9">
        <f t="shared" si="1"/>
        <v>2378009.825135823</v>
      </c>
      <c r="E15" s="16"/>
      <c r="F15" s="16"/>
    </row>
    <row r="16" spans="1:12" ht="12.75">
      <c r="A16" s="2">
        <v>2013</v>
      </c>
      <c r="B16" s="23">
        <v>8944293</v>
      </c>
      <c r="C16" s="28">
        <f t="shared" si="0"/>
        <v>0.1851954198018395</v>
      </c>
      <c r="D16" s="9">
        <f t="shared" si="1"/>
        <v>2525548.8308758438</v>
      </c>
      <c r="E16" s="16"/>
      <c r="F16" s="16"/>
      <c r="J16" s="6"/>
      <c r="K16" s="6"/>
      <c r="L16" s="6"/>
    </row>
    <row r="17" spans="1:6" ht="12.75">
      <c r="A17" s="3" t="s">
        <v>3</v>
      </c>
      <c r="B17" s="24">
        <f>SUM(B10:B16)</f>
        <v>48296513</v>
      </c>
      <c r="C17" s="29"/>
      <c r="D17" s="10">
        <f>SUM(D10:D16)</f>
        <v>13637210</v>
      </c>
      <c r="E17" s="16"/>
      <c r="F17" s="16"/>
    </row>
    <row r="20" ht="15.75">
      <c r="A20" s="25" t="s">
        <v>177</v>
      </c>
    </row>
    <row r="21" spans="1:13" ht="51">
      <c r="A21" s="77" t="s">
        <v>4</v>
      </c>
      <c r="B21" s="78" t="s">
        <v>5</v>
      </c>
      <c r="C21" s="78" t="s">
        <v>6</v>
      </c>
      <c r="D21" s="78" t="s">
        <v>7</v>
      </c>
      <c r="E21" s="119" t="s">
        <v>182</v>
      </c>
      <c r="F21" s="119" t="s">
        <v>139</v>
      </c>
      <c r="G21" s="119" t="s">
        <v>138</v>
      </c>
      <c r="H21" s="119" t="s">
        <v>185</v>
      </c>
      <c r="I21" s="119" t="s">
        <v>142</v>
      </c>
      <c r="J21" s="119" t="s">
        <v>147</v>
      </c>
      <c r="K21" s="119" t="s">
        <v>186</v>
      </c>
      <c r="L21" s="119" t="s">
        <v>146</v>
      </c>
      <c r="M21" s="119" t="s">
        <v>144</v>
      </c>
    </row>
    <row r="22" spans="1:13" ht="12.75">
      <c r="A22" s="71"/>
      <c r="B22" s="79"/>
      <c r="C22" s="79"/>
      <c r="D22" s="79"/>
      <c r="E22" s="81">
        <v>0</v>
      </c>
      <c r="F22" s="81"/>
      <c r="G22" s="81">
        <v>0</v>
      </c>
      <c r="H22" s="81">
        <v>0</v>
      </c>
      <c r="I22" s="81"/>
      <c r="J22" s="81">
        <v>0</v>
      </c>
      <c r="K22" s="81">
        <v>0</v>
      </c>
      <c r="L22" s="81"/>
      <c r="M22" s="81">
        <v>0</v>
      </c>
    </row>
    <row r="23" spans="1:13" ht="12.75">
      <c r="A23" s="82" t="s">
        <v>8</v>
      </c>
      <c r="B23" s="83">
        <v>0</v>
      </c>
      <c r="C23" s="83">
        <v>0</v>
      </c>
      <c r="D23" s="83">
        <v>0</v>
      </c>
      <c r="E23" s="81">
        <v>0</v>
      </c>
      <c r="F23" s="81"/>
      <c r="G23" s="81">
        <v>0</v>
      </c>
      <c r="H23" s="81">
        <v>0</v>
      </c>
      <c r="I23" s="81"/>
      <c r="J23" s="81">
        <v>0</v>
      </c>
      <c r="K23" s="81">
        <v>0</v>
      </c>
      <c r="L23" s="81"/>
      <c r="M23" s="81">
        <f>'IM 1.1'!M23+'IM 1.2'!M23+'IM 1.3'!M23+'IM 1.4'!M23</f>
        <v>0</v>
      </c>
    </row>
    <row r="24" spans="1:13" ht="12.75">
      <c r="A24" s="82" t="s">
        <v>9</v>
      </c>
      <c r="B24" s="83">
        <v>0</v>
      </c>
      <c r="C24" s="83">
        <v>0</v>
      </c>
      <c r="D24" s="83">
        <v>0</v>
      </c>
      <c r="E24" s="81">
        <v>0</v>
      </c>
      <c r="F24" s="81"/>
      <c r="G24" s="81">
        <f>'IM 1.1'!G24+'IM 1.2'!G24+'IM 1.3'!G24+'IM 1.4'!G24</f>
        <v>0</v>
      </c>
      <c r="H24" s="81">
        <v>0</v>
      </c>
      <c r="I24" s="81"/>
      <c r="J24" s="81">
        <f>'IM 1.1'!J24+'IM 1.2'!J24+'IM 1.3'!J24+'IM 1.4'!J24</f>
        <v>0</v>
      </c>
      <c r="K24" s="81">
        <v>0</v>
      </c>
      <c r="L24" s="81"/>
      <c r="M24" s="81">
        <f>'IM 1.1'!M24+'IM 1.2'!M24+'IM 1.3'!M24+'IM 1.4'!M24</f>
        <v>0</v>
      </c>
    </row>
    <row r="25" spans="1:13" ht="12.75">
      <c r="A25" s="82" t="s">
        <v>10</v>
      </c>
      <c r="B25" s="83">
        <v>0</v>
      </c>
      <c r="C25" s="83">
        <v>0</v>
      </c>
      <c r="D25" s="83">
        <v>0</v>
      </c>
      <c r="E25" s="81">
        <v>0</v>
      </c>
      <c r="F25" s="81"/>
      <c r="G25" s="81">
        <f>'IM 1.1'!G25+'IM 1.2'!G25+'IM 1.3'!G25+'IM 1.4'!G25</f>
        <v>0</v>
      </c>
      <c r="H25" s="81">
        <v>0</v>
      </c>
      <c r="I25" s="81"/>
      <c r="J25" s="81">
        <f>'IM 1.1'!J25+'IM 1.2'!J25+'IM 1.3'!J25+'IM 1.4'!J25</f>
        <v>0</v>
      </c>
      <c r="K25" s="81">
        <v>0</v>
      </c>
      <c r="L25" s="81"/>
      <c r="M25" s="81">
        <f>'IM 1.1'!M25+'IM 1.2'!M25+'IM 1.3'!M25+'IM 1.4'!M25</f>
        <v>0</v>
      </c>
    </row>
    <row r="26" spans="1:13" ht="12.75">
      <c r="A26" s="82" t="s">
        <v>11</v>
      </c>
      <c r="B26" s="83">
        <f>D10</f>
        <v>991776.2883626815</v>
      </c>
      <c r="C26" s="83">
        <v>0</v>
      </c>
      <c r="D26" s="83">
        <v>0</v>
      </c>
      <c r="E26" s="81">
        <v>0</v>
      </c>
      <c r="F26" s="81"/>
      <c r="G26" s="81">
        <v>0</v>
      </c>
      <c r="H26" s="81">
        <v>0</v>
      </c>
      <c r="I26" s="81"/>
      <c r="J26" s="81">
        <v>0</v>
      </c>
      <c r="K26" s="81">
        <v>0</v>
      </c>
      <c r="L26" s="81"/>
      <c r="M26" s="81">
        <v>0</v>
      </c>
    </row>
    <row r="27" spans="1:13" ht="12.75">
      <c r="A27" s="82" t="s">
        <v>12</v>
      </c>
      <c r="B27" s="83">
        <f>B26+D11</f>
        <v>2443608.6940893643</v>
      </c>
      <c r="C27" s="83">
        <v>0</v>
      </c>
      <c r="D27" s="83">
        <v>0</v>
      </c>
      <c r="E27" s="81">
        <f>'IM 3.1'!E27+'IM 3.2'!E27+'IM 3.3'!E27</f>
        <v>793995.1090074291</v>
      </c>
      <c r="F27" s="81"/>
      <c r="G27" s="81"/>
      <c r="H27" s="81">
        <f>'IM 3.1'!H27+'IM 3.2'!H27+'IM 3.3'!H27</f>
        <v>0</v>
      </c>
      <c r="I27" s="81"/>
      <c r="J27" s="81"/>
      <c r="K27" s="81">
        <f>'IM 3.1'!K27+'IM 3.2'!K27+'IM 3.3'!K27</f>
        <v>0</v>
      </c>
      <c r="L27" s="81"/>
      <c r="M27" s="81"/>
    </row>
    <row r="28" spans="1:13" ht="12.75">
      <c r="A28" s="82" t="s">
        <v>13</v>
      </c>
      <c r="B28" s="83">
        <f>B27</f>
        <v>2443608.6940893643</v>
      </c>
      <c r="C28" s="83">
        <v>0</v>
      </c>
      <c r="D28" s="83">
        <v>0</v>
      </c>
      <c r="E28" s="81">
        <f>'IM 3.1'!E28+'IM 3.2'!E28+'IM 3.3'!E28</f>
        <v>793995.1090074291</v>
      </c>
      <c r="F28" s="81"/>
      <c r="G28" s="81"/>
      <c r="H28" s="81">
        <f>'IM 3.1'!H28+'IM 3.2'!H28+'IM 3.3'!H28</f>
        <v>0</v>
      </c>
      <c r="I28" s="81"/>
      <c r="J28" s="81"/>
      <c r="K28" s="81">
        <f>'IM 3.1'!K28+'IM 3.2'!K28+'IM 3.3'!K28</f>
        <v>0</v>
      </c>
      <c r="L28" s="81"/>
      <c r="M28" s="81"/>
    </row>
    <row r="29" spans="1:13" ht="12.75">
      <c r="A29" s="82" t="s">
        <v>14</v>
      </c>
      <c r="B29" s="83">
        <f>B28</f>
        <v>2443608.6940893643</v>
      </c>
      <c r="C29" s="83">
        <v>0</v>
      </c>
      <c r="D29" s="83">
        <v>0</v>
      </c>
      <c r="E29" s="81">
        <f>'IM 3.1'!E29+'IM 3.2'!E29+'IM 3.3'!E29</f>
        <v>4831646.1062822435</v>
      </c>
      <c r="F29" s="81"/>
      <c r="G29" s="81"/>
      <c r="H29" s="81">
        <f>'IM 3.1'!H29+'IM 3.2'!H29+'IM 3.3'!H29</f>
        <v>35026.05</v>
      </c>
      <c r="I29" s="81"/>
      <c r="J29" s="81"/>
      <c r="K29" s="81">
        <f>'IM 3.1'!K29+'IM 3.2'!K29+'IM 3.3'!K29</f>
        <v>0</v>
      </c>
      <c r="L29" s="81"/>
      <c r="M29" s="81"/>
    </row>
    <row r="30" spans="1:13" ht="12.75">
      <c r="A30" s="82" t="s">
        <v>15</v>
      </c>
      <c r="B30" s="83">
        <f>B29</f>
        <v>2443608.6940893643</v>
      </c>
      <c r="C30" s="83">
        <v>0</v>
      </c>
      <c r="D30" s="83">
        <v>0</v>
      </c>
      <c r="E30" s="81">
        <f>'IM 3.1'!E30+'IM 3.2'!E30+'IM 3.3'!E30</f>
        <v>4831646.1062822435</v>
      </c>
      <c r="F30" s="81"/>
      <c r="G30" s="81"/>
      <c r="H30" s="81">
        <f>'IM 3.1'!H30+'IM 3.2'!H30+'IM 3.3'!H30</f>
        <v>369052.5218014858</v>
      </c>
      <c r="I30" s="81"/>
      <c r="J30" s="81"/>
      <c r="K30" s="81">
        <f>'IM 3.1'!K30+'IM 3.2'!K30+'IM 3.3'!K30</f>
        <v>0</v>
      </c>
      <c r="L30" s="81"/>
      <c r="M30" s="81"/>
    </row>
    <row r="31" spans="1:13" ht="12.75">
      <c r="A31" s="82" t="s">
        <v>16</v>
      </c>
      <c r="B31" s="83">
        <f>B30+D12</f>
        <v>4420446.3659310145</v>
      </c>
      <c r="C31" s="83">
        <v>0</v>
      </c>
      <c r="D31" s="83">
        <v>0</v>
      </c>
      <c r="E31" s="81">
        <f>'IM 3.1'!E31+'IM 3.2'!E31+'IM 3.3'!E31</f>
        <v>6078873.1062822435</v>
      </c>
      <c r="F31" s="81"/>
      <c r="G31" s="81"/>
      <c r="H31" s="81">
        <f>'IM 3.1'!H31+'IM 3.2'!H31+'IM 3.3'!H31</f>
        <v>1513503.9539586774</v>
      </c>
      <c r="I31" s="81"/>
      <c r="J31" s="81"/>
      <c r="K31" s="81">
        <f>'IM 3.1'!K31+'IM 3.2'!K31+'IM 3.3'!K31</f>
        <v>0</v>
      </c>
      <c r="L31" s="81"/>
      <c r="M31" s="81"/>
    </row>
    <row r="32" spans="1:13" ht="12.75">
      <c r="A32" s="82" t="s">
        <v>17</v>
      </c>
      <c r="B32" s="83">
        <f>B31</f>
        <v>4420446.3659310145</v>
      </c>
      <c r="C32" s="83">
        <v>0</v>
      </c>
      <c r="D32" s="83">
        <v>0</v>
      </c>
      <c r="E32" s="81">
        <f>'IM 3.1'!E32+'IM 3.2'!E32+'IM 3.3'!E32</f>
        <v>6078873.1062822435</v>
      </c>
      <c r="F32" s="81"/>
      <c r="G32" s="81"/>
      <c r="H32" s="81">
        <f>'IM 3.1'!H32+'IM 3.2'!H32+'IM 3.3'!H32</f>
        <v>2565805.1363883875</v>
      </c>
      <c r="I32" s="81"/>
      <c r="J32" s="81"/>
      <c r="K32" s="81">
        <f>'IM 3.1'!K32+'IM 3.2'!K32+'IM 3.3'!K32</f>
        <v>369052.5218014858</v>
      </c>
      <c r="L32" s="81"/>
      <c r="M32" s="81"/>
    </row>
    <row r="33" spans="1:13" ht="12.75">
      <c r="A33" s="82" t="s">
        <v>18</v>
      </c>
      <c r="B33" s="83">
        <f>B32</f>
        <v>4420446.3659310145</v>
      </c>
      <c r="C33" s="83">
        <v>0</v>
      </c>
      <c r="D33" s="83">
        <v>0</v>
      </c>
      <c r="E33" s="81">
        <f>'IM 3.1'!E33+'IM 3.2'!E33+'IM 3.3'!E33</f>
        <v>6078873.1062822435</v>
      </c>
      <c r="F33" s="81"/>
      <c r="G33" s="81"/>
      <c r="H33" s="81">
        <f>'IM 3.1'!H33+'IM 3.2'!H33+'IM 3.3'!H33</f>
        <v>3291765.6361158686</v>
      </c>
      <c r="I33" s="81"/>
      <c r="J33" s="81"/>
      <c r="K33" s="81">
        <f>'IM 3.1'!K33+'IM 3.2'!K33+'IM 3.3'!K33</f>
        <v>1513503.9539586774</v>
      </c>
      <c r="L33" s="81"/>
      <c r="M33" s="81"/>
    </row>
    <row r="34" spans="1:13" ht="12.75">
      <c r="A34" s="82" t="s">
        <v>19</v>
      </c>
      <c r="B34" s="83">
        <f>B33</f>
        <v>4420446.3659310145</v>
      </c>
      <c r="C34" s="83">
        <v>0</v>
      </c>
      <c r="D34" s="83">
        <v>0</v>
      </c>
      <c r="E34" s="81">
        <f>'IM 3.1'!E34+'IM 3.2'!E34+'IM 3.3'!E34</f>
        <v>6155357.1062822435</v>
      </c>
      <c r="F34" s="81"/>
      <c r="G34" s="81"/>
      <c r="H34" s="81">
        <f>'IM 3.1'!H34+'IM 3.2'!H34+'IM 3.3'!H34</f>
        <v>4048864.78584335</v>
      </c>
      <c r="I34" s="81"/>
      <c r="J34" s="81"/>
      <c r="K34" s="81">
        <f>'IM 3.1'!K34+'IM 3.2'!K34+'IM 3.3'!K34</f>
        <v>2565805.1363883875</v>
      </c>
      <c r="L34" s="81"/>
      <c r="M34" s="81"/>
    </row>
    <row r="35" spans="1:13" ht="12.75">
      <c r="A35" s="82" t="s">
        <v>20</v>
      </c>
      <c r="B35" s="83">
        <f>B34+D13</f>
        <v>6503519.92645411</v>
      </c>
      <c r="C35" s="83">
        <v>0</v>
      </c>
      <c r="D35" s="83">
        <v>0</v>
      </c>
      <c r="E35" s="81">
        <f>'IM 3.1'!E35+'IM 3.2'!E35+'IM 3.3'!E35</f>
        <v>6155357.1062822435</v>
      </c>
      <c r="F35" s="81"/>
      <c r="G35" s="81"/>
      <c r="H35" s="81">
        <f>'IM 3.1'!H35+'IM 3.2'!H35+'IM 3.3'!H35</f>
        <v>4626399.385570832</v>
      </c>
      <c r="I35" s="81"/>
      <c r="J35" s="81"/>
      <c r="K35" s="81">
        <f>'IM 3.1'!K35+'IM 3.2'!K35+'IM 3.3'!K35</f>
        <v>3291765.6361158686</v>
      </c>
      <c r="L35" s="81"/>
      <c r="M35" s="81"/>
    </row>
    <row r="36" spans="1:13" ht="12.75">
      <c r="A36" s="82" t="s">
        <v>21</v>
      </c>
      <c r="B36" s="83">
        <f>B35</f>
        <v>6503519.92645411</v>
      </c>
      <c r="C36" s="83">
        <v>0</v>
      </c>
      <c r="D36" s="83">
        <v>0</v>
      </c>
      <c r="E36" s="81">
        <f>'IM 3.1'!E36+'IM 3.2'!E36+'IM 3.3'!E36</f>
        <v>7557857.1062822435</v>
      </c>
      <c r="F36" s="81"/>
      <c r="G36" s="81"/>
      <c r="H36" s="81">
        <f>'IM 3.1'!H36+'IM 3.2'!H36+'IM 3.3'!H36</f>
        <v>5203933.985298313</v>
      </c>
      <c r="I36" s="81"/>
      <c r="J36" s="81"/>
      <c r="K36" s="81">
        <f>'IM 3.1'!K36+'IM 3.2'!K36+'IM 3.3'!K36</f>
        <v>4048864.78584335</v>
      </c>
      <c r="L36" s="81"/>
      <c r="M36" s="81"/>
    </row>
    <row r="37" spans="1:13" ht="12.75">
      <c r="A37" s="82" t="s">
        <v>22</v>
      </c>
      <c r="B37" s="83">
        <f>B36</f>
        <v>6503519.92645411</v>
      </c>
      <c r="C37" s="83">
        <v>0</v>
      </c>
      <c r="D37" s="83">
        <v>0</v>
      </c>
      <c r="E37" s="81">
        <f>'IM 3.1'!E37+'IM 3.2'!E37+'IM 3.3'!E37</f>
        <v>7557857.1062822435</v>
      </c>
      <c r="F37" s="81"/>
      <c r="G37" s="81"/>
      <c r="H37" s="81">
        <f>'IM 3.1'!H37+'IM 3.2'!H37+'IM 3.3'!H37</f>
        <v>6046441.285025794</v>
      </c>
      <c r="I37" s="81"/>
      <c r="J37" s="81"/>
      <c r="K37" s="81">
        <f>'IM 3.1'!K37+'IM 3.2'!K37+'IM 3.3'!K37</f>
        <v>4626399.385570832</v>
      </c>
      <c r="L37" s="81"/>
      <c r="M37" s="81"/>
    </row>
    <row r="38" spans="1:13" ht="12.75">
      <c r="A38" s="82" t="s">
        <v>23</v>
      </c>
      <c r="B38" s="83">
        <f>B37</f>
        <v>6503519.92645411</v>
      </c>
      <c r="C38" s="83">
        <f>B26</f>
        <v>991776.2883626815</v>
      </c>
      <c r="D38" s="83">
        <f>C38-$J$11</f>
        <v>37171.58836268145</v>
      </c>
      <c r="E38" s="81">
        <f>'IM 3.1'!E38+'IM 3.2'!E38+'IM 3.3'!E38</f>
        <v>7557857.1062822435</v>
      </c>
      <c r="F38" s="81"/>
      <c r="G38" s="81"/>
      <c r="H38" s="81">
        <f>'IM 3.1'!H38+'IM 3.2'!H38+'IM 3.3'!H38</f>
        <v>6272113.085025795</v>
      </c>
      <c r="I38" s="81"/>
      <c r="J38" s="81"/>
      <c r="K38" s="81">
        <f>'IM 3.1'!K38+'IM 3.2'!K38+'IM 3.3'!K38</f>
        <v>5203933.985298313</v>
      </c>
      <c r="L38" s="81"/>
      <c r="M38" s="81"/>
    </row>
    <row r="39" spans="1:13" ht="12.75">
      <c r="A39" s="82" t="s">
        <v>24</v>
      </c>
      <c r="B39" s="83">
        <f>B38+D14</f>
        <v>8733651.343988333</v>
      </c>
      <c r="C39" s="83">
        <f>C38</f>
        <v>991776.2883626815</v>
      </c>
      <c r="D39" s="83">
        <f aca="true" t="shared" si="2" ref="D39:D57">C39-$J$11</f>
        <v>37171.58836268145</v>
      </c>
      <c r="E39" s="81">
        <f>'IM 3.1'!E39+'IM 3.2'!E39+'IM 3.3'!E39</f>
        <v>10382790.186984554</v>
      </c>
      <c r="F39" s="81"/>
      <c r="G39" s="81"/>
      <c r="H39" s="81">
        <f>'IM 3.1'!H39+'IM 3.2'!H39+'IM 3.3'!H39</f>
        <v>6523784.885025795</v>
      </c>
      <c r="I39" s="81"/>
      <c r="J39" s="81"/>
      <c r="K39" s="81">
        <f>'IM 3.1'!K39+'IM 3.2'!K39+'IM 3.3'!K39</f>
        <v>6046441.285025794</v>
      </c>
      <c r="L39" s="81"/>
      <c r="M39" s="81"/>
    </row>
    <row r="40" spans="1:13" ht="12.75">
      <c r="A40" s="82" t="s">
        <v>25</v>
      </c>
      <c r="B40" s="83">
        <f>B39</f>
        <v>8733651.343988333</v>
      </c>
      <c r="C40" s="83">
        <f>C39</f>
        <v>991776.2883626815</v>
      </c>
      <c r="D40" s="83">
        <f t="shared" si="2"/>
        <v>37171.58836268145</v>
      </c>
      <c r="E40" s="81">
        <f>'IM 3.1'!E40+'IM 3.2'!E40+'IM 3.3'!E40</f>
        <v>10447790.186984554</v>
      </c>
      <c r="F40" s="81"/>
      <c r="G40" s="81"/>
      <c r="H40" s="81">
        <f>'IM 3.1'!H40+'IM 3.2'!H40+'IM 3.3'!H40</f>
        <v>7288673.306282243</v>
      </c>
      <c r="I40" s="81"/>
      <c r="J40" s="81"/>
      <c r="K40" s="81">
        <f>'IM 3.1'!K40+'IM 3.2'!K40+'IM 3.3'!K40</f>
        <v>6272113.085025795</v>
      </c>
      <c r="L40" s="81"/>
      <c r="M40" s="81"/>
    </row>
    <row r="41" spans="1:13" ht="12.75">
      <c r="A41" s="82" t="s">
        <v>26</v>
      </c>
      <c r="B41" s="83">
        <f>B40</f>
        <v>8733651.343988333</v>
      </c>
      <c r="C41" s="83">
        <f>C40</f>
        <v>991776.2883626815</v>
      </c>
      <c r="D41" s="83">
        <f t="shared" si="2"/>
        <v>37171.58836268145</v>
      </c>
      <c r="E41" s="81">
        <f>'IM 3.1'!E41+'IM 3.2'!E41+'IM 3.3'!E41</f>
        <v>11722790.186984554</v>
      </c>
      <c r="F41" s="81"/>
      <c r="G41" s="81"/>
      <c r="H41" s="81">
        <f>'IM 3.1'!H41+'IM 3.2'!H41+'IM 3.3'!H41</f>
        <v>8052968.722422705</v>
      </c>
      <c r="I41" s="81"/>
      <c r="J41" s="81"/>
      <c r="K41" s="81">
        <f>'IM 3.1'!K41+'IM 3.2'!K41+'IM 3.3'!K41</f>
        <v>6523784.885025795</v>
      </c>
      <c r="L41" s="81"/>
      <c r="M41" s="81"/>
    </row>
    <row r="42" spans="1:13" ht="12.75">
      <c r="A42" s="82" t="s">
        <v>27</v>
      </c>
      <c r="B42" s="83">
        <f>B41</f>
        <v>8733651.343988333</v>
      </c>
      <c r="C42" s="83">
        <f>B27</f>
        <v>2443608.6940893643</v>
      </c>
      <c r="D42" s="83">
        <f t="shared" si="2"/>
        <v>1489003.994089364</v>
      </c>
      <c r="E42" s="81">
        <f>'IM 3.1'!E42+'IM 3.2'!E42+'IM 3.3'!E42</f>
        <v>11722790.186984554</v>
      </c>
      <c r="F42" s="81"/>
      <c r="G42" s="81"/>
      <c r="H42" s="81">
        <f>'IM 3.1'!H42+'IM 3.2'!H42+'IM 3.3'!H42</f>
        <v>8454593.722422704</v>
      </c>
      <c r="I42" s="81"/>
      <c r="J42" s="81"/>
      <c r="K42" s="81">
        <f>'IM 3.1'!K42+'IM 3.2'!K42+'IM 3.3'!K42</f>
        <v>7288673.306282243</v>
      </c>
      <c r="L42" s="81"/>
      <c r="M42" s="81"/>
    </row>
    <row r="43" spans="1:13" ht="12.75">
      <c r="A43" s="82" t="s">
        <v>28</v>
      </c>
      <c r="B43" s="83">
        <f>B42+D15</f>
        <v>11111661.169124156</v>
      </c>
      <c r="C43" s="83">
        <f>C42</f>
        <v>2443608.6940893643</v>
      </c>
      <c r="D43" s="83">
        <f t="shared" si="2"/>
        <v>1489003.994089364</v>
      </c>
      <c r="E43" s="81">
        <f>'IM 3.1'!E43+'IM 3.2'!E43+'IM 3.3'!E43</f>
        <v>11722790.186984554</v>
      </c>
      <c r="F43" s="81"/>
      <c r="G43" s="81"/>
      <c r="H43" s="81">
        <f>'IM 3.1'!H43+'IM 3.2'!H43+'IM 3.3'!H43</f>
        <v>8645843.722422704</v>
      </c>
      <c r="I43" s="81"/>
      <c r="J43" s="81"/>
      <c r="K43" s="81">
        <f>'IM 3.1'!K43+'IM 3.2'!K43+'IM 3.3'!K43</f>
        <v>8052968.722422705</v>
      </c>
      <c r="L43" s="81"/>
      <c r="M43" s="81"/>
    </row>
    <row r="44" spans="1:13" ht="12.75">
      <c r="A44" s="82" t="s">
        <v>29</v>
      </c>
      <c r="B44" s="83">
        <f>B43</f>
        <v>11111661.169124156</v>
      </c>
      <c r="C44" s="83">
        <f>C43</f>
        <v>2443608.6940893643</v>
      </c>
      <c r="D44" s="83">
        <f t="shared" si="2"/>
        <v>1489003.994089364</v>
      </c>
      <c r="E44" s="81">
        <f>'IM 3.1'!E44+'IM 3.2'!E44+'IM 3.3'!E44</f>
        <v>11722790.186984554</v>
      </c>
      <c r="F44" s="81"/>
      <c r="G44" s="81"/>
      <c r="H44" s="81">
        <f>'IM 3.1'!H44+'IM 3.2'!H44+'IM 3.3'!H44</f>
        <v>9623326.992598282</v>
      </c>
      <c r="I44" s="81"/>
      <c r="J44" s="81"/>
      <c r="K44" s="81">
        <f>'IM 3.1'!K44+'IM 3.2'!K44+'IM 3.3'!K44</f>
        <v>8454593.722422704</v>
      </c>
      <c r="L44" s="81"/>
      <c r="M44" s="81"/>
    </row>
    <row r="45" spans="1:13" ht="12.75">
      <c r="A45" s="82" t="s">
        <v>30</v>
      </c>
      <c r="B45" s="83">
        <f>B44</f>
        <v>11111661.169124156</v>
      </c>
      <c r="C45" s="83">
        <f>C44</f>
        <v>2443608.6940893643</v>
      </c>
      <c r="D45" s="83">
        <f t="shared" si="2"/>
        <v>1489003.994089364</v>
      </c>
      <c r="E45" s="81">
        <f>'IM 3.1'!E45+'IM 3.2'!E45+'IM 3.3'!E45</f>
        <v>12956108.736984555</v>
      </c>
      <c r="F45" s="81"/>
      <c r="G45" s="81"/>
      <c r="H45" s="81">
        <f>'IM 3.1'!H45+'IM 3.2'!H45+'IM 3.3'!H45</f>
        <v>10001658.847598283</v>
      </c>
      <c r="I45" s="81"/>
      <c r="J45" s="81"/>
      <c r="K45" s="81">
        <f>'IM 3.1'!K45+'IM 3.2'!K45+'IM 3.3'!K45</f>
        <v>8645843.722422704</v>
      </c>
      <c r="L45" s="81"/>
      <c r="M45" s="81"/>
    </row>
    <row r="46" spans="1:13" ht="12.75">
      <c r="A46" s="82" t="s">
        <v>31</v>
      </c>
      <c r="B46" s="83">
        <f>B45</f>
        <v>11111661.169124156</v>
      </c>
      <c r="C46" s="83">
        <f>B34</f>
        <v>4420446.3659310145</v>
      </c>
      <c r="D46" s="83">
        <f t="shared" si="2"/>
        <v>3465841.6659310143</v>
      </c>
      <c r="E46" s="81">
        <f>'IM 3.1'!E46+'IM 3.2'!E46+'IM 3.3'!E46</f>
        <v>12956108.736984555</v>
      </c>
      <c r="F46" s="81"/>
      <c r="G46" s="81"/>
      <c r="H46" s="81">
        <f>'IM 3.1'!H46+'IM 3.2'!H46+'IM 3.3'!H46</f>
        <v>10441656.630098283</v>
      </c>
      <c r="I46" s="81"/>
      <c r="J46" s="81"/>
      <c r="K46" s="81">
        <f>'IM 3.1'!K46+'IM 3.2'!K46+'IM 3.3'!K46</f>
        <v>9623326.992598282</v>
      </c>
      <c r="L46" s="81"/>
      <c r="M46" s="81"/>
    </row>
    <row r="47" spans="1:13" ht="12.75">
      <c r="A47" s="82" t="s">
        <v>32</v>
      </c>
      <c r="B47" s="83">
        <f>B46+D16</f>
        <v>13637210</v>
      </c>
      <c r="C47" s="83">
        <f>C46</f>
        <v>4420446.3659310145</v>
      </c>
      <c r="D47" s="83">
        <f t="shared" si="2"/>
        <v>3465841.6659310143</v>
      </c>
      <c r="E47" s="81">
        <f>'IM 3.1'!E47+'IM 3.2'!E47+'IM 3.3'!E47</f>
        <v>13071500.486984555</v>
      </c>
      <c r="F47" s="81"/>
      <c r="G47" s="81"/>
      <c r="H47" s="81">
        <f>'IM 3.1'!H47+'IM 3.2'!H47+'IM 3.3'!H47</f>
        <v>11180324.828738745</v>
      </c>
      <c r="I47" s="81"/>
      <c r="J47" s="81"/>
      <c r="K47" s="81">
        <f>'IM 3.1'!K47+'IM 3.2'!K47+'IM 3.3'!K47</f>
        <v>10001658.847598283</v>
      </c>
      <c r="L47" s="81"/>
      <c r="M47" s="81"/>
    </row>
    <row r="48" spans="1:13" ht="12.75">
      <c r="A48" s="82" t="s">
        <v>33</v>
      </c>
      <c r="B48" s="83">
        <f aca="true" t="shared" si="3" ref="B48:B58">$B$47</f>
        <v>13637210</v>
      </c>
      <c r="C48" s="83">
        <f>C47</f>
        <v>4420446.3659310145</v>
      </c>
      <c r="D48" s="83">
        <f t="shared" si="2"/>
        <v>3465841.6659310143</v>
      </c>
      <c r="E48" s="81">
        <f>'IM 3.1'!E48+'IM 3.2'!E48+'IM 3.3'!E48</f>
        <v>13071500.486984555</v>
      </c>
      <c r="F48" s="81"/>
      <c r="G48" s="81"/>
      <c r="H48" s="81">
        <f>'IM 3.1'!H48+'IM 3.2'!H48+'IM 3.3'!H48</f>
        <v>11334051.933738746</v>
      </c>
      <c r="I48" s="81"/>
      <c r="J48" s="81"/>
      <c r="K48" s="81">
        <f>'IM 3.1'!K48+'IM 3.2'!K48+'IM 3.3'!K48</f>
        <v>10441656.630098283</v>
      </c>
      <c r="L48" s="81"/>
      <c r="M48" s="81"/>
    </row>
    <row r="49" spans="1:13" ht="12.75">
      <c r="A49" s="82" t="s">
        <v>34</v>
      </c>
      <c r="B49" s="83">
        <f t="shared" si="3"/>
        <v>13637210</v>
      </c>
      <c r="C49" s="83">
        <f>C48</f>
        <v>4420446.3659310145</v>
      </c>
      <c r="D49" s="83">
        <f t="shared" si="2"/>
        <v>3465841.6659310143</v>
      </c>
      <c r="E49" s="81">
        <f>'IM 3.1'!E49+'IM 3.2'!E49+'IM 3.3'!E49</f>
        <v>13637209.486984555</v>
      </c>
      <c r="F49" s="81"/>
      <c r="G49" s="81"/>
      <c r="H49" s="81">
        <f>'IM 3.1'!H49+'IM 3.2'!H49+'IM 3.3'!H49</f>
        <v>11575620.616238745</v>
      </c>
      <c r="I49" s="81"/>
      <c r="J49" s="81"/>
      <c r="K49" s="81">
        <f>'IM 3.1'!K49+'IM 3.2'!K49+'IM 3.3'!K49</f>
        <v>11180324.828738745</v>
      </c>
      <c r="L49" s="81"/>
      <c r="M49" s="81"/>
    </row>
    <row r="50" spans="1:13" ht="12.75">
      <c r="A50" s="82" t="s">
        <v>35</v>
      </c>
      <c r="B50" s="83">
        <f t="shared" si="3"/>
        <v>13637210</v>
      </c>
      <c r="C50" s="83">
        <f>B35+D14</f>
        <v>8733651.343988333</v>
      </c>
      <c r="D50" s="83">
        <f t="shared" si="2"/>
        <v>7779046.643988333</v>
      </c>
      <c r="E50" s="81">
        <f>'IM 3.1'!E50+'IM 3.2'!E50+'IM 3.3'!E50</f>
        <v>13637209.486984555</v>
      </c>
      <c r="F50" s="81"/>
      <c r="G50" s="81"/>
      <c r="H50" s="81">
        <f>'IM 3.1'!H50+'IM 3.2'!H50+'IM 3.3'!H50</f>
        <v>12224502.00584409</v>
      </c>
      <c r="I50" s="81"/>
      <c r="J50" s="81"/>
      <c r="K50" s="81">
        <f>'IM 3.1'!K50+'IM 3.2'!K50+'IM 3.3'!K50</f>
        <v>11334051.933738746</v>
      </c>
      <c r="L50" s="81"/>
      <c r="M50" s="81"/>
    </row>
    <row r="51" spans="1:13" ht="12.75">
      <c r="A51" s="82" t="s">
        <v>36</v>
      </c>
      <c r="B51" s="83">
        <f t="shared" si="3"/>
        <v>13637210</v>
      </c>
      <c r="C51" s="83">
        <f>C50</f>
        <v>8733651.343988333</v>
      </c>
      <c r="D51" s="83">
        <f t="shared" si="2"/>
        <v>7779046.643988333</v>
      </c>
      <c r="E51" s="81">
        <f>'IM 3.1'!E51+'IM 3.2'!E51+'IM 3.3'!E51</f>
        <v>13637209.486984555</v>
      </c>
      <c r="F51" s="81"/>
      <c r="G51" s="81"/>
      <c r="H51" s="81">
        <f>'IM 3.1'!H51+'IM 3.2'!H51+'IM 3.3'!H51</f>
        <v>12404404.760844091</v>
      </c>
      <c r="I51" s="81"/>
      <c r="J51" s="81"/>
      <c r="K51" s="81">
        <f>'IM 3.1'!K51+'IM 3.2'!K51+'IM 3.3'!K51</f>
        <v>11575620.616238745</v>
      </c>
      <c r="L51" s="81"/>
      <c r="M51" s="81"/>
    </row>
    <row r="52" spans="1:13" ht="12.75">
      <c r="A52" s="82" t="s">
        <v>37</v>
      </c>
      <c r="B52" s="83">
        <f t="shared" si="3"/>
        <v>13637210</v>
      </c>
      <c r="C52" s="83">
        <f>C51</f>
        <v>8733651.343988333</v>
      </c>
      <c r="D52" s="83">
        <f t="shared" si="2"/>
        <v>7779046.643988333</v>
      </c>
      <c r="E52" s="81">
        <f>'IM 3.1'!E52+'IM 3.2'!E52+'IM 3.3'!E52</f>
        <v>13637209.486984555</v>
      </c>
      <c r="F52" s="81"/>
      <c r="G52" s="81"/>
      <c r="H52" s="81">
        <f>'IM 3.1'!H52+'IM 3.2'!H52+'IM 3.3'!H52</f>
        <v>12587401.338344092</v>
      </c>
      <c r="I52" s="81"/>
      <c r="J52" s="81"/>
      <c r="K52" s="81">
        <f>'IM 3.1'!K52+'IM 3.2'!K52+'IM 3.3'!K52</f>
        <v>12224502.00584409</v>
      </c>
      <c r="L52" s="81"/>
      <c r="M52" s="81"/>
    </row>
    <row r="53" spans="1:13" ht="12.75">
      <c r="A53" s="82" t="s">
        <v>38</v>
      </c>
      <c r="B53" s="83">
        <f t="shared" si="3"/>
        <v>13637210</v>
      </c>
      <c r="C53" s="83">
        <f>C52</f>
        <v>8733651.343988333</v>
      </c>
      <c r="D53" s="83">
        <f t="shared" si="2"/>
        <v>7779046.643988333</v>
      </c>
      <c r="E53" s="81">
        <f>'IM 3.1'!E53+'IM 3.2'!E53+'IM 3.3'!E53</f>
        <v>13637209.486984555</v>
      </c>
      <c r="F53" s="81"/>
      <c r="G53" s="81"/>
      <c r="H53" s="81">
        <f>'IM 3.1'!H53+'IM 3.2'!H53+'IM 3.3'!H53</f>
        <v>13410925.886984553</v>
      </c>
      <c r="I53" s="81"/>
      <c r="J53" s="81"/>
      <c r="K53" s="81">
        <f>'IM 3.1'!K53+'IM 3.2'!K53+'IM 3.3'!K53</f>
        <v>12404404.760844091</v>
      </c>
      <c r="L53" s="81"/>
      <c r="M53" s="81"/>
    </row>
    <row r="54" spans="1:13" ht="12.75">
      <c r="A54" s="82" t="s">
        <v>39</v>
      </c>
      <c r="B54" s="83">
        <f t="shared" si="3"/>
        <v>13637210</v>
      </c>
      <c r="C54" s="83">
        <f>B46</f>
        <v>11111661.169124156</v>
      </c>
      <c r="D54" s="83">
        <f t="shared" si="2"/>
        <v>10157056.469124157</v>
      </c>
      <c r="E54" s="81">
        <f>'IM 3.1'!E54+'IM 3.2'!E54+'IM 3.3'!E54</f>
        <v>13637209.486984555</v>
      </c>
      <c r="F54" s="81"/>
      <c r="G54" s="81"/>
      <c r="H54" s="81">
        <f>'IM 3.1'!H54+'IM 3.2'!H54+'IM 3.3'!H54</f>
        <v>13524067.686984554</v>
      </c>
      <c r="I54" s="81"/>
      <c r="J54" s="81"/>
      <c r="K54" s="81">
        <f>'IM 3.1'!K54+'IM 3.2'!K54+'IM 3.3'!K54</f>
        <v>12587401.338344092</v>
      </c>
      <c r="L54" s="81"/>
      <c r="M54" s="81"/>
    </row>
    <row r="55" spans="1:13" ht="12.75">
      <c r="A55" s="82" t="s">
        <v>40</v>
      </c>
      <c r="B55" s="83">
        <f t="shared" si="3"/>
        <v>13637210</v>
      </c>
      <c r="C55" s="83">
        <f>C54</f>
        <v>11111661.169124156</v>
      </c>
      <c r="D55" s="83">
        <f t="shared" si="2"/>
        <v>10157056.469124157</v>
      </c>
      <c r="E55" s="81">
        <f>'IM 3.1'!E55+'IM 3.2'!E55+'IM 3.3'!E55</f>
        <v>13637209.486984555</v>
      </c>
      <c r="F55" s="81"/>
      <c r="G55" s="81"/>
      <c r="H55" s="81">
        <f>'IM 3.1'!H55+'IM 3.2'!H55+'IM 3.3'!H55</f>
        <v>13637209.486984555</v>
      </c>
      <c r="I55" s="81"/>
      <c r="J55" s="81"/>
      <c r="K55" s="81">
        <f>'IM 3.1'!K55+'IM 3.2'!K55+'IM 3.3'!K55</f>
        <v>13410925.886984553</v>
      </c>
      <c r="L55" s="81"/>
      <c r="M55" s="81"/>
    </row>
    <row r="56" spans="1:13" ht="12.75">
      <c r="A56" s="82" t="s">
        <v>41</v>
      </c>
      <c r="B56" s="83">
        <f t="shared" si="3"/>
        <v>13637210</v>
      </c>
      <c r="C56" s="83">
        <f>C55</f>
        <v>11111661.169124156</v>
      </c>
      <c r="D56" s="83">
        <f t="shared" si="2"/>
        <v>10157056.469124157</v>
      </c>
      <c r="E56" s="81">
        <f>'IM 3.1'!E56+'IM 3.2'!E56+'IM 3.3'!E56</f>
        <v>13637209.486984555</v>
      </c>
      <c r="F56" s="81"/>
      <c r="G56" s="81"/>
      <c r="H56" s="81">
        <f>'IM 3.1'!H56+'IM 3.2'!H56+'IM 3.3'!H56</f>
        <v>13637209.486984555</v>
      </c>
      <c r="I56" s="81"/>
      <c r="J56" s="81"/>
      <c r="K56" s="81">
        <f>'IM 3.1'!K56+'IM 3.2'!K56+'IM 3.3'!K56</f>
        <v>13524067.686984554</v>
      </c>
      <c r="L56" s="81"/>
      <c r="M56" s="81"/>
    </row>
    <row r="57" spans="1:13" ht="12.75">
      <c r="A57" s="82" t="s">
        <v>42</v>
      </c>
      <c r="B57" s="83">
        <f t="shared" si="3"/>
        <v>13637210</v>
      </c>
      <c r="C57" s="83">
        <f>C56</f>
        <v>11111661.169124156</v>
      </c>
      <c r="D57" s="83">
        <f t="shared" si="2"/>
        <v>10157056.469124157</v>
      </c>
      <c r="E57" s="81">
        <f>'IM 3.1'!E57+'IM 3.2'!E57+'IM 3.3'!E57</f>
        <v>13637209.486984555</v>
      </c>
      <c r="F57" s="81"/>
      <c r="G57" s="81"/>
      <c r="H57" s="81">
        <f>'IM 3.1'!H57+'IM 3.2'!H57+'IM 3.3'!H57</f>
        <v>13637209.486984555</v>
      </c>
      <c r="I57" s="81"/>
      <c r="J57" s="81"/>
      <c r="K57" s="81">
        <f>'IM 3.1'!K57+'IM 3.2'!K57+'IM 3.3'!K57</f>
        <v>13637209.486984555</v>
      </c>
      <c r="L57" s="81"/>
      <c r="M57" s="81"/>
    </row>
    <row r="58" spans="1:13" ht="12.75">
      <c r="A58" s="82" t="s">
        <v>43</v>
      </c>
      <c r="B58" s="83">
        <f t="shared" si="3"/>
        <v>13637210</v>
      </c>
      <c r="C58" s="83">
        <f>B47</f>
        <v>13637210</v>
      </c>
      <c r="D58" s="83">
        <f>C58</f>
        <v>13637210</v>
      </c>
      <c r="E58" s="81">
        <f>'IM 3.1'!E58+'IM 3.2'!E58+'IM 3.3'!E58</f>
        <v>13637209.486984555</v>
      </c>
      <c r="F58" s="81"/>
      <c r="G58" s="81"/>
      <c r="H58" s="81">
        <f>'IM 3.1'!H58+'IM 3.2'!H58+'IM 3.3'!H58</f>
        <v>13637209.486984555</v>
      </c>
      <c r="I58" s="81"/>
      <c r="J58" s="81"/>
      <c r="K58" s="81">
        <f>'IM 3.1'!K58+'IM 3.2'!K58+'IM 3.3'!K58</f>
        <v>13637209.486984555</v>
      </c>
      <c r="L58" s="81"/>
      <c r="M58" s="81"/>
    </row>
  </sheetData>
  <mergeCells count="2">
    <mergeCell ref="A7:C7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  <colBreaks count="1" manualBreakCount="1">
    <brk id="1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2:O58"/>
  <sheetViews>
    <sheetView view="pageBreakPreview" zoomScaleNormal="85" zoomScaleSheetLayoutView="100" workbookViewId="0" topLeftCell="A16">
      <selection activeCell="H17" sqref="H17"/>
    </sheetView>
  </sheetViews>
  <sheetFormatPr defaultColWidth="9.140625" defaultRowHeight="12.75"/>
  <cols>
    <col min="1" max="1" width="20.28125" style="0" customWidth="1"/>
    <col min="2" max="2" width="13.00390625" style="0" bestFit="1" customWidth="1"/>
    <col min="3" max="3" width="15.421875" style="0" customWidth="1"/>
    <col min="4" max="4" width="15.00390625" style="0" customWidth="1"/>
    <col min="5" max="6" width="15.28125" style="0" customWidth="1"/>
    <col min="7" max="7" width="11.421875" style="0" bestFit="1" customWidth="1"/>
    <col min="8" max="8" width="11.421875" style="0" customWidth="1"/>
    <col min="9" max="9" width="14.28125" style="0" customWidth="1"/>
    <col min="10" max="10" width="12.8515625" style="0" customWidth="1"/>
    <col min="11" max="12" width="13.28125" style="0" customWidth="1"/>
    <col min="13" max="13" width="13.00390625" style="0" bestFit="1" customWidth="1"/>
    <col min="14" max="14" width="15.140625" style="0" customWidth="1"/>
    <col min="15" max="15" width="13.421875" style="0" bestFit="1" customWidth="1"/>
  </cols>
  <sheetData>
    <row r="2" spans="1:15" ht="54" customHeight="1">
      <c r="A2" s="162" t="s">
        <v>165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75"/>
      <c r="O2" s="76"/>
    </row>
    <row r="3" ht="15.75">
      <c r="A3" s="25"/>
    </row>
    <row r="4" spans="1:12" ht="15.75">
      <c r="A4" s="25" t="s">
        <v>161</v>
      </c>
      <c r="G4" s="25" t="s">
        <v>114</v>
      </c>
      <c r="K4" s="25"/>
      <c r="L4" s="25"/>
    </row>
    <row r="5" spans="1:12" ht="15.75">
      <c r="A5" t="s">
        <v>171</v>
      </c>
      <c r="B5" s="26">
        <f>H9</f>
        <v>7358790</v>
      </c>
      <c r="J5" s="25"/>
      <c r="K5" s="25"/>
      <c r="L5" s="25"/>
    </row>
    <row r="6" spans="1:2" ht="12.75">
      <c r="A6" t="s">
        <v>160</v>
      </c>
      <c r="B6" s="26">
        <f>'Priority Axis 3'!J11</f>
        <v>954604.7000000001</v>
      </c>
    </row>
    <row r="7" spans="1:12" ht="12.75">
      <c r="A7" s="137" t="s">
        <v>0</v>
      </c>
      <c r="B7" s="138"/>
      <c r="C7" s="138"/>
      <c r="D7" s="71"/>
      <c r="E7" s="70"/>
      <c r="F7" s="70"/>
      <c r="G7" s="31" t="s">
        <v>55</v>
      </c>
      <c r="H7" s="32"/>
      <c r="I7" s="32"/>
      <c r="J7" s="42"/>
      <c r="K7" s="125"/>
      <c r="L7" s="16"/>
    </row>
    <row r="8" spans="1:12" ht="82.5" customHeight="1">
      <c r="A8" s="86" t="s">
        <v>1</v>
      </c>
      <c r="B8" s="85" t="s">
        <v>127</v>
      </c>
      <c r="C8" s="85" t="s">
        <v>128</v>
      </c>
      <c r="D8" s="85" t="s">
        <v>162</v>
      </c>
      <c r="E8" s="16"/>
      <c r="F8" s="16"/>
      <c r="G8" s="33"/>
      <c r="H8" s="34" t="s">
        <v>56</v>
      </c>
      <c r="I8" s="35" t="s">
        <v>149</v>
      </c>
      <c r="J8" s="36" t="s">
        <v>45</v>
      </c>
      <c r="K8" s="12"/>
      <c r="L8" s="126"/>
    </row>
    <row r="9" spans="1:12" ht="15.75">
      <c r="A9" s="21"/>
      <c r="B9" s="22"/>
      <c r="C9" s="27"/>
      <c r="D9" s="30"/>
      <c r="E9" s="16"/>
      <c r="F9" s="16"/>
      <c r="G9" s="47" t="s">
        <v>104</v>
      </c>
      <c r="H9" s="48">
        <v>7358790</v>
      </c>
      <c r="I9" s="49">
        <f>H9/$H$12</f>
        <v>0.5396111239648322</v>
      </c>
      <c r="J9" s="50">
        <f>I9*$B$6</f>
        <v>515115.31510911154</v>
      </c>
      <c r="K9" s="121"/>
      <c r="L9" s="126"/>
    </row>
    <row r="10" spans="1:12" ht="12.75">
      <c r="A10" s="2">
        <v>2007</v>
      </c>
      <c r="B10" s="23">
        <v>3512400</v>
      </c>
      <c r="C10" s="28">
        <f aca="true" t="shared" si="0" ref="C10:C16">B10/$B$17</f>
        <v>0.07272574730188078</v>
      </c>
      <c r="D10" s="9">
        <f aca="true" t="shared" si="1" ref="D10:D16">C10*$B$5</f>
        <v>535173.5019876072</v>
      </c>
      <c r="E10" s="16"/>
      <c r="F10" s="16"/>
      <c r="G10" s="51" t="s">
        <v>105</v>
      </c>
      <c r="H10" s="38">
        <v>422025</v>
      </c>
      <c r="I10" s="39">
        <f>H10/$H$12</f>
        <v>0.030946580156691293</v>
      </c>
      <c r="J10" s="43">
        <f>I10*$B$6</f>
        <v>29541.750866504248</v>
      </c>
      <c r="K10" s="112"/>
      <c r="L10" s="126"/>
    </row>
    <row r="11" spans="1:12" ht="12.75">
      <c r="A11" s="2">
        <v>2008</v>
      </c>
      <c r="B11" s="23">
        <v>5141700</v>
      </c>
      <c r="C11" s="28">
        <f t="shared" si="0"/>
        <v>0.10646110206755506</v>
      </c>
      <c r="D11" s="9">
        <f t="shared" si="1"/>
        <v>783424.8932837035</v>
      </c>
      <c r="E11" s="16"/>
      <c r="F11" s="16"/>
      <c r="G11" s="51" t="s">
        <v>106</v>
      </c>
      <c r="H11" s="59">
        <v>5856394.6</v>
      </c>
      <c r="I11" s="60">
        <f>H11/$H$12</f>
        <v>0.4294422958784765</v>
      </c>
      <c r="J11" s="43">
        <f>I11*$B$6</f>
        <v>409947.6340243843</v>
      </c>
      <c r="K11" s="112"/>
      <c r="L11" s="126"/>
    </row>
    <row r="12" spans="1:12" ht="12.75">
      <c r="A12" s="2">
        <v>2009</v>
      </c>
      <c r="B12" s="23">
        <v>7001019</v>
      </c>
      <c r="C12" s="28">
        <f t="shared" si="0"/>
        <v>0.1449590988069884</v>
      </c>
      <c r="D12" s="9">
        <f t="shared" si="1"/>
        <v>1066723.5667098782</v>
      </c>
      <c r="E12" s="16"/>
      <c r="F12" s="16"/>
      <c r="G12" s="33" t="s">
        <v>46</v>
      </c>
      <c r="H12" s="40">
        <f>SUM(H9:H11)</f>
        <v>13637209.6</v>
      </c>
      <c r="I12" s="41"/>
      <c r="J12" s="44">
        <f>SUM(J9:J11)</f>
        <v>954604.7000000001</v>
      </c>
      <c r="K12" s="112"/>
      <c r="L12" s="126"/>
    </row>
    <row r="13" spans="1:12" ht="12.75">
      <c r="A13" s="2">
        <v>2010</v>
      </c>
      <c r="B13" s="23">
        <v>7377256</v>
      </c>
      <c r="C13" s="28">
        <f t="shared" si="0"/>
        <v>0.1527492471350882</v>
      </c>
      <c r="D13" s="9">
        <f t="shared" si="1"/>
        <v>1124049.6323252157</v>
      </c>
      <c r="E13" s="16"/>
      <c r="F13" s="16"/>
      <c r="K13" s="126"/>
      <c r="L13" s="126"/>
    </row>
    <row r="14" spans="1:6" ht="12.75">
      <c r="A14" s="2">
        <v>2011</v>
      </c>
      <c r="B14" s="23">
        <v>7898065</v>
      </c>
      <c r="C14" s="28">
        <f t="shared" si="0"/>
        <v>0.16353282068210598</v>
      </c>
      <c r="D14" s="9">
        <f t="shared" si="1"/>
        <v>1203403.6855072747</v>
      </c>
      <c r="E14" s="16"/>
      <c r="F14" s="16"/>
    </row>
    <row r="15" spans="1:6" ht="12.75">
      <c r="A15" s="2">
        <v>2012</v>
      </c>
      <c r="B15" s="23">
        <v>8421780</v>
      </c>
      <c r="C15" s="28">
        <f t="shared" si="0"/>
        <v>0.17437656420454206</v>
      </c>
      <c r="D15" s="9">
        <f t="shared" si="1"/>
        <v>1283200.516902742</v>
      </c>
      <c r="E15" s="16"/>
      <c r="F15" s="16"/>
    </row>
    <row r="16" spans="1:6" ht="12.75">
      <c r="A16" s="2">
        <v>2013</v>
      </c>
      <c r="B16" s="23">
        <v>8944293</v>
      </c>
      <c r="C16" s="28">
        <f t="shared" si="0"/>
        <v>0.1851954198018395</v>
      </c>
      <c r="D16" s="9">
        <f t="shared" si="1"/>
        <v>1362814.2032835786</v>
      </c>
      <c r="E16" s="16"/>
      <c r="F16" s="16"/>
    </row>
    <row r="17" spans="1:6" ht="12.75">
      <c r="A17" s="3" t="s">
        <v>3</v>
      </c>
      <c r="B17" s="24">
        <f>SUM(B10:B16)</f>
        <v>48296513</v>
      </c>
      <c r="C17" s="29"/>
      <c r="D17" s="10">
        <f>SUM(D10:D16)</f>
        <v>7358790</v>
      </c>
      <c r="E17" s="16"/>
      <c r="F17" s="16"/>
    </row>
    <row r="20" ht="15.75">
      <c r="A20" s="25" t="s">
        <v>176</v>
      </c>
    </row>
    <row r="21" spans="1:13" ht="51">
      <c r="A21" s="77" t="s">
        <v>4</v>
      </c>
      <c r="B21" s="78" t="s">
        <v>5</v>
      </c>
      <c r="C21" s="78" t="s">
        <v>6</v>
      </c>
      <c r="D21" s="78" t="s">
        <v>7</v>
      </c>
      <c r="E21" s="119" t="s">
        <v>182</v>
      </c>
      <c r="F21" s="119" t="s">
        <v>139</v>
      </c>
      <c r="G21" s="119" t="s">
        <v>138</v>
      </c>
      <c r="H21" s="119" t="s">
        <v>141</v>
      </c>
      <c r="I21" s="119" t="s">
        <v>142</v>
      </c>
      <c r="J21" s="119" t="s">
        <v>147</v>
      </c>
      <c r="K21" s="119" t="s">
        <v>183</v>
      </c>
      <c r="L21" s="119" t="s">
        <v>146</v>
      </c>
      <c r="M21" s="119" t="s">
        <v>144</v>
      </c>
    </row>
    <row r="22" spans="1:13" ht="12.75">
      <c r="A22" s="71"/>
      <c r="B22" s="79"/>
      <c r="C22" s="79"/>
      <c r="D22" s="79"/>
      <c r="E22" s="80"/>
      <c r="F22" s="80"/>
      <c r="G22" s="81"/>
      <c r="H22" s="81"/>
      <c r="I22" s="81"/>
      <c r="J22" s="81"/>
      <c r="K22" s="81"/>
      <c r="L22" s="81"/>
      <c r="M22" s="81"/>
    </row>
    <row r="23" spans="1:13" ht="12.75">
      <c r="A23" s="82" t="s">
        <v>8</v>
      </c>
      <c r="B23" s="83">
        <v>0</v>
      </c>
      <c r="C23" s="83">
        <v>0</v>
      </c>
      <c r="D23" s="83">
        <v>0</v>
      </c>
      <c r="E23" s="80">
        <v>0</v>
      </c>
      <c r="F23" s="80"/>
      <c r="G23" s="81">
        <f>'[1]Call AA'!E51</f>
        <v>0</v>
      </c>
      <c r="H23" s="81">
        <v>0</v>
      </c>
      <c r="I23" s="81"/>
      <c r="J23" s="81">
        <f>'[1]Call AA'!F51</f>
        <v>0</v>
      </c>
      <c r="K23" s="81">
        <v>0</v>
      </c>
      <c r="L23" s="81"/>
      <c r="M23" s="81">
        <f>'[1]Call AA'!G51</f>
        <v>0</v>
      </c>
    </row>
    <row r="24" spans="1:13" ht="12.75">
      <c r="A24" s="82" t="s">
        <v>9</v>
      </c>
      <c r="B24" s="83">
        <v>0</v>
      </c>
      <c r="C24" s="83">
        <v>0</v>
      </c>
      <c r="D24" s="83">
        <v>0</v>
      </c>
      <c r="E24" s="80">
        <v>0</v>
      </c>
      <c r="F24" s="80"/>
      <c r="G24" s="81">
        <f>'[1]Call AA'!E52</f>
        <v>0</v>
      </c>
      <c r="H24" s="81">
        <v>0</v>
      </c>
      <c r="I24" s="81"/>
      <c r="J24" s="81">
        <f>'[1]Call AA'!F52</f>
        <v>0</v>
      </c>
      <c r="K24" s="81">
        <v>0</v>
      </c>
      <c r="L24" s="81"/>
      <c r="M24" s="81">
        <f>'[1]Call AA'!G52</f>
        <v>0</v>
      </c>
    </row>
    <row r="25" spans="1:13" ht="12.75">
      <c r="A25" s="82" t="s">
        <v>10</v>
      </c>
      <c r="B25" s="83">
        <v>0</v>
      </c>
      <c r="C25" s="83">
        <v>0</v>
      </c>
      <c r="D25" s="83">
        <v>0</v>
      </c>
      <c r="E25" s="80">
        <v>0</v>
      </c>
      <c r="F25" s="80"/>
      <c r="G25" s="81">
        <f>'[1]Call AA'!E53</f>
        <v>0</v>
      </c>
      <c r="H25" s="81">
        <v>0</v>
      </c>
      <c r="I25" s="81"/>
      <c r="J25" s="81">
        <f>'[1]Call AA'!F53</f>
        <v>0</v>
      </c>
      <c r="K25" s="81">
        <v>0</v>
      </c>
      <c r="L25" s="81"/>
      <c r="M25" s="81">
        <f>'[1]Call AA'!G53</f>
        <v>0</v>
      </c>
    </row>
    <row r="26" spans="1:13" ht="12.75">
      <c r="A26" s="82" t="s">
        <v>11</v>
      </c>
      <c r="B26" s="83">
        <f>D10</f>
        <v>535173.5019876072</v>
      </c>
      <c r="C26" s="83">
        <v>0</v>
      </c>
      <c r="D26" s="83">
        <v>0</v>
      </c>
      <c r="E26" s="80">
        <v>0</v>
      </c>
      <c r="F26" s="80"/>
      <c r="G26" s="81">
        <f>'[1]Call AA'!E54</f>
        <v>0</v>
      </c>
      <c r="H26" s="81">
        <v>0</v>
      </c>
      <c r="I26" s="81"/>
      <c r="J26" s="81">
        <f>'[1]Call AA'!F54</f>
        <v>0</v>
      </c>
      <c r="K26" s="81">
        <v>0</v>
      </c>
      <c r="L26" s="81"/>
      <c r="M26" s="81">
        <f>'[1]Call AA'!G54</f>
        <v>0</v>
      </c>
    </row>
    <row r="27" spans="1:13" ht="12.75">
      <c r="A27" s="82" t="s">
        <v>12</v>
      </c>
      <c r="B27" s="83">
        <f>B26+D11</f>
        <v>1318598.3952713106</v>
      </c>
      <c r="C27" s="83">
        <v>0</v>
      </c>
      <c r="D27" s="83">
        <v>0</v>
      </c>
      <c r="E27" s="84">
        <f>'Call 3.1'!E55</f>
        <v>700035</v>
      </c>
      <c r="F27" s="84"/>
      <c r="G27" s="81">
        <f>'Call 3.1'!G55</f>
        <v>0</v>
      </c>
      <c r="H27" s="81">
        <v>0</v>
      </c>
      <c r="I27" s="81"/>
      <c r="J27" s="81">
        <v>0</v>
      </c>
      <c r="K27" s="81">
        <v>0</v>
      </c>
      <c r="L27" s="81"/>
      <c r="M27" s="81">
        <v>0</v>
      </c>
    </row>
    <row r="28" spans="1:13" ht="12.75">
      <c r="A28" s="82" t="s">
        <v>13</v>
      </c>
      <c r="B28" s="83">
        <f>B27</f>
        <v>1318598.3952713106</v>
      </c>
      <c r="C28" s="83">
        <v>0</v>
      </c>
      <c r="D28" s="83">
        <v>0</v>
      </c>
      <c r="E28" s="84">
        <f>'Call 3.1'!E56</f>
        <v>700035</v>
      </c>
      <c r="F28" s="84"/>
      <c r="G28" s="81">
        <f>'Call 3.1'!G56</f>
        <v>0</v>
      </c>
      <c r="H28" s="81">
        <f>'Call 3.1'!H56</f>
        <v>0</v>
      </c>
      <c r="I28" s="81"/>
      <c r="J28" s="81">
        <f>'Call 3.1'!J56</f>
        <v>0</v>
      </c>
      <c r="K28" s="81"/>
      <c r="L28" s="81"/>
      <c r="M28" s="81"/>
    </row>
    <row r="29" spans="1:13" ht="12.75">
      <c r="A29" s="82" t="s">
        <v>14</v>
      </c>
      <c r="B29" s="83">
        <f>B28</f>
        <v>1318598.3952713106</v>
      </c>
      <c r="C29" s="83">
        <v>0</v>
      </c>
      <c r="D29" s="83">
        <v>0</v>
      </c>
      <c r="E29" s="84">
        <f>'Call 3.1'!E57</f>
        <v>1635035</v>
      </c>
      <c r="F29" s="84"/>
      <c r="G29" s="81">
        <f>'Call 3.1'!G57</f>
        <v>0</v>
      </c>
      <c r="H29" s="81">
        <f>'Call 3.1'!H57</f>
        <v>35026.05</v>
      </c>
      <c r="I29" s="81"/>
      <c r="J29" s="81">
        <f>'Call 3.1'!J57</f>
        <v>0</v>
      </c>
      <c r="K29" s="81">
        <f>'Call 3.1'!K57</f>
        <v>0</v>
      </c>
      <c r="L29" s="81"/>
      <c r="M29" s="81">
        <f>'Call 3.1'!M57</f>
        <v>0</v>
      </c>
    </row>
    <row r="30" spans="1:13" ht="12.75">
      <c r="A30" s="82" t="s">
        <v>15</v>
      </c>
      <c r="B30" s="83">
        <f>B29</f>
        <v>1318598.3952713106</v>
      </c>
      <c r="C30" s="83">
        <v>0</v>
      </c>
      <c r="D30" s="83">
        <v>0</v>
      </c>
      <c r="E30" s="84">
        <f>'Call 3.1'!E58</f>
        <v>1635035</v>
      </c>
      <c r="F30" s="84"/>
      <c r="G30" s="81">
        <f>'Call 3.1'!G58</f>
        <v>0</v>
      </c>
      <c r="H30" s="81">
        <f>'Call 3.1'!H58</f>
        <v>350260.5</v>
      </c>
      <c r="I30" s="81"/>
      <c r="J30" s="81">
        <f>'Call 3.1'!J58</f>
        <v>0</v>
      </c>
      <c r="K30" s="81">
        <f>'Call 3.1'!K58</f>
        <v>0</v>
      </c>
      <c r="L30" s="81"/>
      <c r="M30" s="81">
        <f>'Call 3.1'!M58</f>
        <v>0</v>
      </c>
    </row>
    <row r="31" spans="1:13" ht="12.75">
      <c r="A31" s="82" t="s">
        <v>16</v>
      </c>
      <c r="B31" s="83">
        <f>B30+D12</f>
        <v>2385321.9619811885</v>
      </c>
      <c r="C31" s="83">
        <v>0</v>
      </c>
      <c r="D31" s="83">
        <v>0</v>
      </c>
      <c r="E31" s="84">
        <f>'Call 3.1'!E59</f>
        <v>2882262</v>
      </c>
      <c r="F31" s="84"/>
      <c r="G31" s="81">
        <f>'Call 3.1'!G59</f>
        <v>0</v>
      </c>
      <c r="H31" s="81">
        <f>'Call 3.1'!H59</f>
        <v>871993.7</v>
      </c>
      <c r="I31" s="81"/>
      <c r="J31" s="81">
        <f>'Call 3.1'!J59</f>
        <v>0</v>
      </c>
      <c r="K31" s="81">
        <f>'Call 3.1'!K59</f>
        <v>0</v>
      </c>
      <c r="L31" s="81"/>
      <c r="M31" s="81">
        <f>'Call 3.1'!M59</f>
        <v>0</v>
      </c>
    </row>
    <row r="32" spans="1:13" ht="12.75">
      <c r="A32" s="82" t="s">
        <v>17</v>
      </c>
      <c r="B32" s="83">
        <f>B31</f>
        <v>2385321.9619811885</v>
      </c>
      <c r="C32" s="83">
        <v>0</v>
      </c>
      <c r="D32" s="83">
        <v>0</v>
      </c>
      <c r="E32" s="84">
        <f>'Call 3.1'!E60</f>
        <v>2882262</v>
      </c>
      <c r="F32" s="84"/>
      <c r="G32" s="81">
        <f>'Call 3.1'!G60</f>
        <v>0</v>
      </c>
      <c r="H32" s="81">
        <f>'Call 3.1'!H60</f>
        <v>1572841.75</v>
      </c>
      <c r="I32" s="81"/>
      <c r="J32" s="81">
        <f>'Call 3.1'!J60</f>
        <v>0</v>
      </c>
      <c r="K32" s="81">
        <f>'Call 3.1'!K60</f>
        <v>350260.5</v>
      </c>
      <c r="L32" s="81"/>
      <c r="M32" s="81">
        <f>'Call 3.1'!M60</f>
        <v>0</v>
      </c>
    </row>
    <row r="33" spans="1:13" ht="12.75">
      <c r="A33" s="82" t="s">
        <v>18</v>
      </c>
      <c r="B33" s="83">
        <f>B32</f>
        <v>2385321.9619811885</v>
      </c>
      <c r="C33" s="83">
        <v>0</v>
      </c>
      <c r="D33" s="83">
        <v>0</v>
      </c>
      <c r="E33" s="84">
        <f>'Call 3.1'!E61</f>
        <v>2882262</v>
      </c>
      <c r="F33" s="84"/>
      <c r="G33" s="81">
        <f>'Call 3.1'!G61</f>
        <v>0</v>
      </c>
      <c r="H33" s="81">
        <f>'Call 3.1'!H61</f>
        <v>1962537.15</v>
      </c>
      <c r="I33" s="81"/>
      <c r="J33" s="81">
        <f>'Call 3.1'!J61</f>
        <v>0</v>
      </c>
      <c r="K33" s="81">
        <f>'Call 3.1'!K61</f>
        <v>871993.7</v>
      </c>
      <c r="L33" s="81"/>
      <c r="M33" s="81">
        <f>'Call 3.1'!M61</f>
        <v>0</v>
      </c>
    </row>
    <row r="34" spans="1:13" ht="12.75">
      <c r="A34" s="82" t="s">
        <v>19</v>
      </c>
      <c r="B34" s="83">
        <f>B33</f>
        <v>2385321.9619811885</v>
      </c>
      <c r="C34" s="83">
        <v>0</v>
      </c>
      <c r="D34" s="83">
        <v>0</v>
      </c>
      <c r="E34" s="84">
        <f>'Call 3.1'!E62</f>
        <v>2882262</v>
      </c>
      <c r="F34" s="84"/>
      <c r="G34" s="81">
        <f>'Call 3.1'!G62</f>
        <v>0</v>
      </c>
      <c r="H34" s="81">
        <f>'Call 3.1'!H62</f>
        <v>2383371.1999999997</v>
      </c>
      <c r="I34" s="81"/>
      <c r="J34" s="81">
        <f>'Call 3.1'!J62</f>
        <v>0</v>
      </c>
      <c r="K34" s="81">
        <f>'Call 3.1'!K62</f>
        <v>1572841.75</v>
      </c>
      <c r="L34" s="81"/>
      <c r="M34" s="81">
        <f>'Call 3.1'!M62</f>
        <v>0</v>
      </c>
    </row>
    <row r="35" spans="1:13" ht="12.75">
      <c r="A35" s="82" t="s">
        <v>20</v>
      </c>
      <c r="B35" s="83">
        <f>B34+D13</f>
        <v>3509371.5943064042</v>
      </c>
      <c r="C35" s="83">
        <v>0</v>
      </c>
      <c r="D35" s="83">
        <v>0</v>
      </c>
      <c r="E35" s="84">
        <f>'Call 3.1'!E63</f>
        <v>2882262</v>
      </c>
      <c r="F35" s="84"/>
      <c r="G35" s="81">
        <f>'Call 3.1'!G63</f>
        <v>0</v>
      </c>
      <c r="H35" s="81">
        <f>'Call 3.1'!H63</f>
        <v>2648343.9</v>
      </c>
      <c r="I35" s="81"/>
      <c r="J35" s="81">
        <f>'Call 3.1'!J63</f>
        <v>0</v>
      </c>
      <c r="K35" s="81">
        <f>'Call 3.1'!K63</f>
        <v>1962537.15</v>
      </c>
      <c r="L35" s="81"/>
      <c r="M35" s="81">
        <f>'Call 3.1'!M63</f>
        <v>0</v>
      </c>
    </row>
    <row r="36" spans="1:13" ht="12.75">
      <c r="A36" s="82" t="s">
        <v>21</v>
      </c>
      <c r="B36" s="83">
        <f>B35</f>
        <v>3509371.5943064042</v>
      </c>
      <c r="C36" s="83">
        <v>0</v>
      </c>
      <c r="D36" s="83">
        <v>0</v>
      </c>
      <c r="E36" s="84">
        <f>'Call 3.1'!E64</f>
        <v>4284762</v>
      </c>
      <c r="F36" s="84"/>
      <c r="G36" s="81">
        <f>'Call 3.1'!G64</f>
        <v>0</v>
      </c>
      <c r="H36" s="81">
        <f>'Call 3.1'!H64</f>
        <v>2913316.6</v>
      </c>
      <c r="I36" s="81"/>
      <c r="J36" s="81">
        <f>'Call 3.1'!J64</f>
        <v>0</v>
      </c>
      <c r="K36" s="81">
        <f>'Call 3.1'!K64</f>
        <v>2383371.1999999997</v>
      </c>
      <c r="L36" s="81"/>
      <c r="M36" s="81">
        <f>'Call 3.1'!M64</f>
        <v>0</v>
      </c>
    </row>
    <row r="37" spans="1:13" ht="12.75">
      <c r="A37" s="82" t="s">
        <v>22</v>
      </c>
      <c r="B37" s="83">
        <f>B36</f>
        <v>3509371.5943064042</v>
      </c>
      <c r="C37" s="83">
        <v>0</v>
      </c>
      <c r="D37" s="83">
        <v>0</v>
      </c>
      <c r="E37" s="84">
        <f>'Call 3.1'!E65</f>
        <v>4284762</v>
      </c>
      <c r="F37" s="84"/>
      <c r="G37" s="81">
        <f>'Call 3.1'!G65</f>
        <v>0</v>
      </c>
      <c r="H37" s="81">
        <f>'Call 3.1'!H65</f>
        <v>3443262</v>
      </c>
      <c r="I37" s="81"/>
      <c r="J37" s="81">
        <f>'Call 3.1'!J65</f>
        <v>0</v>
      </c>
      <c r="K37" s="81">
        <f>'Call 3.1'!K65</f>
        <v>2648343.9</v>
      </c>
      <c r="L37" s="81"/>
      <c r="M37" s="81">
        <f>'Call 3.1'!M65</f>
        <v>0</v>
      </c>
    </row>
    <row r="38" spans="1:13" ht="12.75">
      <c r="A38" s="82" t="s">
        <v>23</v>
      </c>
      <c r="B38" s="83">
        <f>B37</f>
        <v>3509371.5943064042</v>
      </c>
      <c r="C38" s="83">
        <f>B26</f>
        <v>535173.5019876072</v>
      </c>
      <c r="D38" s="83">
        <f>C38-$J$9</f>
        <v>20058.186878495675</v>
      </c>
      <c r="E38" s="84">
        <f>'Call 3.1'!E66</f>
        <v>4284762</v>
      </c>
      <c r="F38" s="84"/>
      <c r="G38" s="81">
        <f>'Call 3.1'!G66</f>
        <v>0</v>
      </c>
      <c r="H38" s="81">
        <f>'Call 3.1'!H66</f>
        <v>3653637</v>
      </c>
      <c r="I38" s="81"/>
      <c r="J38" s="81">
        <f>'Call 3.1'!J66</f>
        <v>0</v>
      </c>
      <c r="K38" s="81">
        <f>'Call 3.1'!K66</f>
        <v>2913316.6</v>
      </c>
      <c r="L38" s="81"/>
      <c r="M38" s="81">
        <f>'Call 3.1'!M66</f>
        <v>0</v>
      </c>
    </row>
    <row r="39" spans="1:13" ht="12.75">
      <c r="A39" s="82" t="s">
        <v>24</v>
      </c>
      <c r="B39" s="83">
        <f>B38+D14</f>
        <v>4712775.279813679</v>
      </c>
      <c r="C39" s="83">
        <f>C38</f>
        <v>535173.5019876072</v>
      </c>
      <c r="D39" s="83">
        <f aca="true" t="shared" si="2" ref="D39:D57">C39-$J$9</f>
        <v>20058.186878495675</v>
      </c>
      <c r="E39" s="84">
        <f>'Call 3.1'!E67</f>
        <v>4284762</v>
      </c>
      <c r="F39" s="84"/>
      <c r="G39" s="81">
        <f>'Call 3.1'!G67</f>
        <v>0</v>
      </c>
      <c r="H39" s="81">
        <f>'Call 3.1'!H67</f>
        <v>3864012</v>
      </c>
      <c r="I39" s="81"/>
      <c r="J39" s="81">
        <f>'Call 3.1'!J67</f>
        <v>0</v>
      </c>
      <c r="K39" s="81">
        <f>'Call 3.1'!K67</f>
        <v>3443262</v>
      </c>
      <c r="L39" s="81"/>
      <c r="M39" s="81">
        <f>'Call 3.1'!M67</f>
        <v>0</v>
      </c>
    </row>
    <row r="40" spans="1:13" ht="12.75">
      <c r="A40" s="82" t="s">
        <v>25</v>
      </c>
      <c r="B40" s="83">
        <f>B39</f>
        <v>4712775.279813679</v>
      </c>
      <c r="C40" s="83">
        <f>C39</f>
        <v>535173.5019876072</v>
      </c>
      <c r="D40" s="83">
        <f t="shared" si="2"/>
        <v>20058.186878495675</v>
      </c>
      <c r="E40" s="84">
        <f>'Call 3.1'!E68</f>
        <v>4284762</v>
      </c>
      <c r="F40" s="84"/>
      <c r="G40" s="81">
        <f>'Call 3.1'!G68</f>
        <v>0</v>
      </c>
      <c r="H40" s="81">
        <f>'Call 3.1'!H68</f>
        <v>4004262</v>
      </c>
      <c r="I40" s="81"/>
      <c r="J40" s="81">
        <f>'Call 3.1'!J68</f>
        <v>0</v>
      </c>
      <c r="K40" s="81">
        <f>'Call 3.1'!K68</f>
        <v>3653637</v>
      </c>
      <c r="L40" s="81"/>
      <c r="M40" s="81">
        <f>'Call 3.1'!M68</f>
        <v>0</v>
      </c>
    </row>
    <row r="41" spans="1:13" ht="12.75">
      <c r="A41" s="82" t="s">
        <v>26</v>
      </c>
      <c r="B41" s="83">
        <f>B40</f>
        <v>4712775.279813679</v>
      </c>
      <c r="C41" s="83">
        <f>C40</f>
        <v>535173.5019876072</v>
      </c>
      <c r="D41" s="83">
        <f t="shared" si="2"/>
        <v>20058.186878495675</v>
      </c>
      <c r="E41" s="84">
        <f>'Call 3.1'!E69</f>
        <v>5559762</v>
      </c>
      <c r="F41" s="84"/>
      <c r="G41" s="81">
        <f>'Call 3.1'!G69</f>
        <v>0</v>
      </c>
      <c r="H41" s="81">
        <f>'Call 3.1'!H69</f>
        <v>4201887</v>
      </c>
      <c r="I41" s="81"/>
      <c r="J41" s="81">
        <f>'Call 3.1'!J69</f>
        <v>0</v>
      </c>
      <c r="K41" s="81">
        <f>'Call 3.1'!K69</f>
        <v>3864012</v>
      </c>
      <c r="L41" s="81"/>
      <c r="M41" s="81">
        <f>'Call 3.1'!M69</f>
        <v>0</v>
      </c>
    </row>
    <row r="42" spans="1:13" ht="12.75">
      <c r="A42" s="82" t="s">
        <v>27</v>
      </c>
      <c r="B42" s="83">
        <f>B41</f>
        <v>4712775.279813679</v>
      </c>
      <c r="C42" s="83">
        <f>B27</f>
        <v>1318598.3952713106</v>
      </c>
      <c r="D42" s="83">
        <f t="shared" si="2"/>
        <v>803483.080162199</v>
      </c>
      <c r="E42" s="84">
        <f>'Call 3.1'!E70</f>
        <v>5559762</v>
      </c>
      <c r="F42" s="84"/>
      <c r="G42" s="81">
        <f>'Call 3.1'!G70</f>
        <v>0</v>
      </c>
      <c r="H42" s="81">
        <f>'Call 3.1'!H70</f>
        <v>4603512</v>
      </c>
      <c r="I42" s="81"/>
      <c r="J42" s="81">
        <f>'Call 3.1'!J70</f>
        <v>0</v>
      </c>
      <c r="K42" s="81">
        <f>'Call 3.1'!K70</f>
        <v>4004262</v>
      </c>
      <c r="L42" s="81"/>
      <c r="M42" s="81">
        <f>'Call 3.1'!M70</f>
        <v>0</v>
      </c>
    </row>
    <row r="43" spans="1:13" ht="12.75">
      <c r="A43" s="82" t="s">
        <v>28</v>
      </c>
      <c r="B43" s="83">
        <f>B42+D15</f>
        <v>5995975.796716421</v>
      </c>
      <c r="C43" s="83">
        <f>C42</f>
        <v>1318598.3952713106</v>
      </c>
      <c r="D43" s="83">
        <f t="shared" si="2"/>
        <v>803483.080162199</v>
      </c>
      <c r="E43" s="84">
        <f>'Call 3.1'!E71</f>
        <v>5559762</v>
      </c>
      <c r="F43" s="84"/>
      <c r="G43" s="81">
        <f>'Call 3.1'!G71</f>
        <v>0</v>
      </c>
      <c r="H43" s="81">
        <f>'Call 3.1'!H71</f>
        <v>4794762</v>
      </c>
      <c r="I43" s="81"/>
      <c r="J43" s="81">
        <f>'Call 3.1'!J71</f>
        <v>0</v>
      </c>
      <c r="K43" s="81">
        <f>'Call 3.1'!K71</f>
        <v>4201887</v>
      </c>
      <c r="L43" s="81"/>
      <c r="M43" s="81">
        <f>'Call 3.1'!M71</f>
        <v>0</v>
      </c>
    </row>
    <row r="44" spans="1:13" ht="12.75">
      <c r="A44" s="82" t="s">
        <v>29</v>
      </c>
      <c r="B44" s="83">
        <f>B43</f>
        <v>5995975.796716421</v>
      </c>
      <c r="C44" s="83">
        <f>C43</f>
        <v>1318598.3952713106</v>
      </c>
      <c r="D44" s="83">
        <f t="shared" si="2"/>
        <v>803483.080162199</v>
      </c>
      <c r="E44" s="84">
        <f>'Call 3.1'!E72</f>
        <v>5559762</v>
      </c>
      <c r="F44" s="84"/>
      <c r="G44" s="81">
        <f>'Call 3.1'!G72</f>
        <v>0</v>
      </c>
      <c r="H44" s="81">
        <f>'Call 3.1'!H72</f>
        <v>5049762</v>
      </c>
      <c r="I44" s="81"/>
      <c r="J44" s="81">
        <f>'Call 3.1'!J72</f>
        <v>0</v>
      </c>
      <c r="K44" s="81">
        <f>'Call 3.1'!K72</f>
        <v>4603512</v>
      </c>
      <c r="L44" s="81"/>
      <c r="M44" s="81">
        <f>'Call 3.1'!M72</f>
        <v>0</v>
      </c>
    </row>
    <row r="45" spans="1:13" ht="12.75">
      <c r="A45" s="82" t="s">
        <v>30</v>
      </c>
      <c r="B45" s="83">
        <f>B44</f>
        <v>5995975.796716421</v>
      </c>
      <c r="C45" s="83">
        <f>C44</f>
        <v>1318598.3952713106</v>
      </c>
      <c r="D45" s="83">
        <f t="shared" si="2"/>
        <v>803483.080162199</v>
      </c>
      <c r="E45" s="84">
        <f>'Call 3.1'!E73</f>
        <v>6793080.55</v>
      </c>
      <c r="F45" s="84"/>
      <c r="G45" s="81">
        <f>'Call 3.1'!G73</f>
        <v>0</v>
      </c>
      <c r="H45" s="81">
        <f>'Call 3.1'!H73</f>
        <v>5428093.855</v>
      </c>
      <c r="I45" s="81"/>
      <c r="J45" s="81">
        <f>'Call 3.1'!J73</f>
        <v>0</v>
      </c>
      <c r="K45" s="81">
        <f>'Call 3.1'!K73</f>
        <v>4794762</v>
      </c>
      <c r="L45" s="81"/>
      <c r="M45" s="81">
        <f>'Call 3.1'!M73</f>
        <v>0</v>
      </c>
    </row>
    <row r="46" spans="1:13" ht="12.75">
      <c r="A46" s="82" t="s">
        <v>31</v>
      </c>
      <c r="B46" s="83">
        <f>B45</f>
        <v>5995975.796716421</v>
      </c>
      <c r="C46" s="83">
        <f>B34</f>
        <v>2385321.9619811885</v>
      </c>
      <c r="D46" s="83">
        <f t="shared" si="2"/>
        <v>1870206.646872077</v>
      </c>
      <c r="E46" s="84">
        <f>'Call 3.1'!E74</f>
        <v>6793080.55</v>
      </c>
      <c r="F46" s="84"/>
      <c r="G46" s="81">
        <f>'Call 3.1'!G74</f>
        <v>0</v>
      </c>
      <c r="H46" s="81">
        <f>'Call 3.1'!H74</f>
        <v>5868091.6375</v>
      </c>
      <c r="I46" s="81"/>
      <c r="J46" s="81">
        <f>'Call 3.1'!J74</f>
        <v>0</v>
      </c>
      <c r="K46" s="81">
        <f>'Call 3.1'!K74</f>
        <v>5049762</v>
      </c>
      <c r="L46" s="81"/>
      <c r="M46" s="81">
        <f>'Call 3.1'!M74</f>
        <v>0</v>
      </c>
    </row>
    <row r="47" spans="1:13" ht="12.75">
      <c r="A47" s="82" t="s">
        <v>32</v>
      </c>
      <c r="B47" s="83">
        <f>B46+D16</f>
        <v>7358790</v>
      </c>
      <c r="C47" s="83">
        <f>C46</f>
        <v>2385321.9619811885</v>
      </c>
      <c r="D47" s="83">
        <f t="shared" si="2"/>
        <v>1870206.646872077</v>
      </c>
      <c r="E47" s="84">
        <f>'Call 3.1'!E75</f>
        <v>6793080.55</v>
      </c>
      <c r="F47" s="84"/>
      <c r="G47" s="81">
        <f>'Call 3.1'!G75</f>
        <v>0</v>
      </c>
      <c r="H47" s="81">
        <f>'Call 3.1'!H75</f>
        <v>6053089.42</v>
      </c>
      <c r="I47" s="81"/>
      <c r="J47" s="81">
        <f>'Call 3.1'!J75</f>
        <v>0</v>
      </c>
      <c r="K47" s="81">
        <f>'Call 3.1'!K75</f>
        <v>5428093.855</v>
      </c>
      <c r="L47" s="81"/>
      <c r="M47" s="81">
        <f>'Call 3.1'!M75</f>
        <v>0</v>
      </c>
    </row>
    <row r="48" spans="1:13" ht="12.75">
      <c r="A48" s="82" t="s">
        <v>33</v>
      </c>
      <c r="B48" s="83">
        <f aca="true" t="shared" si="3" ref="B48:B58">$B$47</f>
        <v>7358790</v>
      </c>
      <c r="C48" s="83">
        <f>C47</f>
        <v>2385321.9619811885</v>
      </c>
      <c r="D48" s="83">
        <f t="shared" si="2"/>
        <v>1870206.646872077</v>
      </c>
      <c r="E48" s="84">
        <f>'Call 3.1'!E76</f>
        <v>6793080.55</v>
      </c>
      <c r="F48" s="84"/>
      <c r="G48" s="81">
        <f>'Call 3.1'!G76</f>
        <v>0</v>
      </c>
      <c r="H48" s="81">
        <f>'Call 3.1'!H76</f>
        <v>6176421.275</v>
      </c>
      <c r="I48" s="81"/>
      <c r="J48" s="81">
        <f>'Call 3.1'!J76</f>
        <v>0</v>
      </c>
      <c r="K48" s="81">
        <f>'Call 3.1'!K76</f>
        <v>5868091.6375</v>
      </c>
      <c r="L48" s="81"/>
      <c r="M48" s="81">
        <f>'Call 3.1'!M76</f>
        <v>0</v>
      </c>
    </row>
    <row r="49" spans="1:13" ht="12.75">
      <c r="A49" s="82" t="s">
        <v>34</v>
      </c>
      <c r="B49" s="83">
        <f t="shared" si="3"/>
        <v>7358790</v>
      </c>
      <c r="C49" s="83">
        <f>C48</f>
        <v>2385321.9619811885</v>
      </c>
      <c r="D49" s="83">
        <f t="shared" si="2"/>
        <v>1870206.646872077</v>
      </c>
      <c r="E49" s="84">
        <f>'Call 3.1'!E77</f>
        <v>7358789.55</v>
      </c>
      <c r="F49" s="84"/>
      <c r="G49" s="81">
        <f>'Call 3.1'!G77</f>
        <v>0</v>
      </c>
      <c r="H49" s="81">
        <f>'Call 3.1'!H77</f>
        <v>6417989.9575000005</v>
      </c>
      <c r="I49" s="81"/>
      <c r="J49" s="81">
        <f>'Call 3.1'!J77</f>
        <v>0</v>
      </c>
      <c r="K49" s="81">
        <f>'Call 3.1'!K77</f>
        <v>6053089.42</v>
      </c>
      <c r="L49" s="81"/>
      <c r="M49" s="81">
        <f>'Call 3.1'!M77</f>
        <v>0</v>
      </c>
    </row>
    <row r="50" spans="1:13" ht="12.75">
      <c r="A50" s="82" t="s">
        <v>35</v>
      </c>
      <c r="B50" s="83">
        <f t="shared" si="3"/>
        <v>7358790</v>
      </c>
      <c r="C50" s="83">
        <f>B35+D14</f>
        <v>4712775.279813679</v>
      </c>
      <c r="D50" s="83">
        <f t="shared" si="2"/>
        <v>4197659.964704568</v>
      </c>
      <c r="E50" s="84">
        <f>'Call 3.1'!E78</f>
        <v>7358789.55</v>
      </c>
      <c r="F50" s="84"/>
      <c r="G50" s="81">
        <f>'Call 3.1'!G78</f>
        <v>0</v>
      </c>
      <c r="H50" s="81">
        <f>'Call 3.1'!H78</f>
        <v>6536226.785</v>
      </c>
      <c r="I50" s="81"/>
      <c r="J50" s="81">
        <f>'Call 3.1'!J78</f>
        <v>0</v>
      </c>
      <c r="K50" s="81">
        <f>'Call 3.1'!K78</f>
        <v>6176421.275</v>
      </c>
      <c r="L50" s="81"/>
      <c r="M50" s="81">
        <f>'Call 3.1'!M78</f>
        <v>0</v>
      </c>
    </row>
    <row r="51" spans="1:13" ht="12.75">
      <c r="A51" s="82" t="s">
        <v>36</v>
      </c>
      <c r="B51" s="83">
        <f t="shared" si="3"/>
        <v>7358790</v>
      </c>
      <c r="C51" s="83">
        <f>C50</f>
        <v>4712775.279813679</v>
      </c>
      <c r="D51" s="83">
        <f t="shared" si="2"/>
        <v>4197659.964704568</v>
      </c>
      <c r="E51" s="84">
        <f>'Call 3.1'!E79</f>
        <v>7358789.55</v>
      </c>
      <c r="F51" s="84"/>
      <c r="G51" s="81">
        <f>'Call 3.1'!G79</f>
        <v>0</v>
      </c>
      <c r="H51" s="81">
        <f>'Call 3.1'!H79</f>
        <v>6716129.54</v>
      </c>
      <c r="I51" s="81"/>
      <c r="J51" s="81">
        <f>'Call 3.1'!J79</f>
        <v>0</v>
      </c>
      <c r="K51" s="81">
        <f>'Call 3.1'!K79</f>
        <v>6417989.9575000005</v>
      </c>
      <c r="L51" s="81"/>
      <c r="M51" s="81">
        <f>'Call 3.1'!M79</f>
        <v>0</v>
      </c>
    </row>
    <row r="52" spans="1:13" ht="12.75">
      <c r="A52" s="82" t="s">
        <v>37</v>
      </c>
      <c r="B52" s="83">
        <f t="shared" si="3"/>
        <v>7358790</v>
      </c>
      <c r="C52" s="83">
        <f>C51</f>
        <v>4712775.279813679</v>
      </c>
      <c r="D52" s="83">
        <f t="shared" si="2"/>
        <v>4197659.964704568</v>
      </c>
      <c r="E52" s="84">
        <f>'Call 3.1'!E80</f>
        <v>7358789.55</v>
      </c>
      <c r="F52" s="84"/>
      <c r="G52" s="81">
        <f>'Call 3.1'!G80</f>
        <v>0</v>
      </c>
      <c r="H52" s="81">
        <f>'Call 3.1'!H80</f>
        <v>6862651.8175</v>
      </c>
      <c r="I52" s="81"/>
      <c r="J52" s="81">
        <f>'Call 3.1'!J80</f>
        <v>0</v>
      </c>
      <c r="K52" s="81">
        <f>'Call 3.1'!K80</f>
        <v>6536226.785</v>
      </c>
      <c r="L52" s="81"/>
      <c r="M52" s="81">
        <f>'Call 3.1'!M80</f>
        <v>0</v>
      </c>
    </row>
    <row r="53" spans="1:13" ht="12.75">
      <c r="A53" s="82" t="s">
        <v>38</v>
      </c>
      <c r="B53" s="83">
        <f t="shared" si="3"/>
        <v>7358790</v>
      </c>
      <c r="C53" s="83">
        <f>C52</f>
        <v>4712775.279813679</v>
      </c>
      <c r="D53" s="83">
        <f t="shared" si="2"/>
        <v>4197659.964704568</v>
      </c>
      <c r="E53" s="84">
        <f>'Call 3.1'!E81</f>
        <v>7358789.55</v>
      </c>
      <c r="F53" s="84"/>
      <c r="G53" s="81">
        <f>'Call 3.1'!G81</f>
        <v>0</v>
      </c>
      <c r="H53" s="81">
        <f>'Call 3.1'!H81</f>
        <v>7132505.95</v>
      </c>
      <c r="I53" s="81"/>
      <c r="J53" s="81">
        <f>'Call 3.1'!J81</f>
        <v>0</v>
      </c>
      <c r="K53" s="81">
        <f>'Call 3.1'!K81</f>
        <v>6716129.54</v>
      </c>
      <c r="L53" s="81"/>
      <c r="M53" s="81">
        <f>'Call 3.1'!M81</f>
        <v>0</v>
      </c>
    </row>
    <row r="54" spans="1:13" ht="12.75">
      <c r="A54" s="82" t="s">
        <v>39</v>
      </c>
      <c r="B54" s="83">
        <f t="shared" si="3"/>
        <v>7358790</v>
      </c>
      <c r="C54" s="83">
        <f>B46</f>
        <v>5995975.796716421</v>
      </c>
      <c r="D54" s="83">
        <f t="shared" si="2"/>
        <v>5480860.48160731</v>
      </c>
      <c r="E54" s="84">
        <f>'Call 3.1'!E82</f>
        <v>7358789.55</v>
      </c>
      <c r="F54" s="84"/>
      <c r="G54" s="81">
        <f>'Call 3.1'!G82</f>
        <v>0</v>
      </c>
      <c r="H54" s="81">
        <f>'Call 3.1'!H82</f>
        <v>7245647.75</v>
      </c>
      <c r="I54" s="81"/>
      <c r="J54" s="81">
        <f>'Call 3.1'!J82</f>
        <v>0</v>
      </c>
      <c r="K54" s="81">
        <f>'Call 3.1'!K82</f>
        <v>6862651.8175</v>
      </c>
      <c r="L54" s="81"/>
      <c r="M54" s="81">
        <f>'Call 3.1'!M82</f>
        <v>0</v>
      </c>
    </row>
    <row r="55" spans="1:13" ht="12.75">
      <c r="A55" s="82" t="s">
        <v>40</v>
      </c>
      <c r="B55" s="83">
        <f t="shared" si="3"/>
        <v>7358790</v>
      </c>
      <c r="C55" s="83">
        <f>C54</f>
        <v>5995975.796716421</v>
      </c>
      <c r="D55" s="83">
        <f t="shared" si="2"/>
        <v>5480860.48160731</v>
      </c>
      <c r="E55" s="84">
        <f>'Call 3.1'!E83</f>
        <v>7358789.55</v>
      </c>
      <c r="F55" s="84"/>
      <c r="G55" s="81">
        <f>'Call 3.1'!G83</f>
        <v>0</v>
      </c>
      <c r="H55" s="81">
        <f>'Call 3.1'!H83</f>
        <v>7358789.55</v>
      </c>
      <c r="I55" s="81"/>
      <c r="J55" s="81">
        <f>'Call 3.1'!J83</f>
        <v>0</v>
      </c>
      <c r="K55" s="81">
        <f>'Call 3.1'!K83</f>
        <v>7132505.95</v>
      </c>
      <c r="L55" s="81"/>
      <c r="M55" s="81">
        <f>'Call 3.1'!M83</f>
        <v>0</v>
      </c>
    </row>
    <row r="56" spans="1:13" ht="12.75">
      <c r="A56" s="82" t="s">
        <v>41</v>
      </c>
      <c r="B56" s="83">
        <f t="shared" si="3"/>
        <v>7358790</v>
      </c>
      <c r="C56" s="83">
        <f>C55</f>
        <v>5995975.796716421</v>
      </c>
      <c r="D56" s="83">
        <f t="shared" si="2"/>
        <v>5480860.48160731</v>
      </c>
      <c r="E56" s="84">
        <f>'Call 3.1'!E84</f>
        <v>7358789.55</v>
      </c>
      <c r="F56" s="84"/>
      <c r="G56" s="81">
        <f>'Call 3.1'!G84</f>
        <v>0</v>
      </c>
      <c r="H56" s="81">
        <f>'Call 3.1'!H84</f>
        <v>7358789.55</v>
      </c>
      <c r="I56" s="81"/>
      <c r="J56" s="81">
        <f>'Call 3.1'!J84</f>
        <v>0</v>
      </c>
      <c r="K56" s="81">
        <f>'Call 3.1'!K84</f>
        <v>7245647.75</v>
      </c>
      <c r="L56" s="81"/>
      <c r="M56" s="81">
        <f>'Call 3.1'!M84</f>
        <v>0</v>
      </c>
    </row>
    <row r="57" spans="1:13" ht="12.75">
      <c r="A57" s="82" t="s">
        <v>42</v>
      </c>
      <c r="B57" s="83">
        <f t="shared" si="3"/>
        <v>7358790</v>
      </c>
      <c r="C57" s="83">
        <f>C56</f>
        <v>5995975.796716421</v>
      </c>
      <c r="D57" s="83">
        <f t="shared" si="2"/>
        <v>5480860.48160731</v>
      </c>
      <c r="E57" s="84">
        <f>'Call 3.1'!E85</f>
        <v>7358789.55</v>
      </c>
      <c r="F57" s="84"/>
      <c r="G57" s="81">
        <f>'Call 3.1'!G85</f>
        <v>0</v>
      </c>
      <c r="H57" s="81">
        <f>'Call 3.1'!H85</f>
        <v>7358789.55</v>
      </c>
      <c r="I57" s="81"/>
      <c r="J57" s="81">
        <f>'Call 3.1'!J85</f>
        <v>0</v>
      </c>
      <c r="K57" s="81">
        <f>'Call 3.1'!K85</f>
        <v>7358789.55</v>
      </c>
      <c r="L57" s="81"/>
      <c r="M57" s="81">
        <f>'Call 3.1'!M85</f>
        <v>0</v>
      </c>
    </row>
    <row r="58" spans="1:13" ht="12.75">
      <c r="A58" s="82" t="s">
        <v>43</v>
      </c>
      <c r="B58" s="83">
        <f t="shared" si="3"/>
        <v>7358790</v>
      </c>
      <c r="C58" s="83">
        <f>B47</f>
        <v>7358790</v>
      </c>
      <c r="D58" s="83">
        <f>C58</f>
        <v>7358790</v>
      </c>
      <c r="E58" s="84">
        <f>'Call 3.1'!E86</f>
        <v>7358789.55</v>
      </c>
      <c r="F58" s="84"/>
      <c r="G58" s="81">
        <f>'Call 3.1'!G86</f>
        <v>0</v>
      </c>
      <c r="H58" s="81">
        <f>'Call 3.1'!H86</f>
        <v>7358789.55</v>
      </c>
      <c r="I58" s="81"/>
      <c r="J58" s="81">
        <f>'Call 3.1'!J86</f>
        <v>0</v>
      </c>
      <c r="K58" s="81">
        <f>'Call 3.1'!K86</f>
        <v>7358789.55</v>
      </c>
      <c r="L58" s="81"/>
      <c r="M58" s="81">
        <f>'Call 3.1'!M86</f>
        <v>0</v>
      </c>
    </row>
  </sheetData>
  <mergeCells count="2">
    <mergeCell ref="A7:C7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  <colBreaks count="1" manualBreakCount="1">
    <brk id="13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89"/>
  <sheetViews>
    <sheetView zoomScaleSheetLayoutView="115" workbookViewId="0" topLeftCell="A10">
      <selection activeCell="H17" sqref="H1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customWidth="1"/>
    <col min="6" max="6" width="12.140625" style="0" customWidth="1"/>
    <col min="7" max="7" width="15.7109375" style="0" customWidth="1"/>
    <col min="8" max="9" width="12.57421875" style="0" customWidth="1"/>
    <col min="10" max="12" width="13.00390625" style="0" customWidth="1"/>
    <col min="13" max="13" width="13.421875" style="0" customWidth="1"/>
  </cols>
  <sheetData>
    <row r="1" spans="1:13" ht="22.5" customHeight="1">
      <c r="A1" s="157" t="s">
        <v>164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22.5" customHeight="1">
      <c r="A2" s="154" t="s">
        <v>63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4" spans="1:3" ht="12.75">
      <c r="A4" t="s">
        <v>148</v>
      </c>
      <c r="B4" s="14"/>
      <c r="C4" s="6">
        <f>'IM 3.1'!B5</f>
        <v>7358790</v>
      </c>
    </row>
    <row r="6" ht="12.75">
      <c r="A6" t="s">
        <v>57</v>
      </c>
    </row>
    <row r="7" spans="1:13" ht="45" customHeight="1">
      <c r="A7" s="4" t="s">
        <v>4</v>
      </c>
      <c r="B7" s="4" t="s">
        <v>5</v>
      </c>
      <c r="C7" s="4" t="s">
        <v>6</v>
      </c>
      <c r="D7" s="4" t="s">
        <v>7</v>
      </c>
      <c r="E7" s="12" t="s">
        <v>137</v>
      </c>
      <c r="F7" s="12" t="s">
        <v>139</v>
      </c>
      <c r="G7" s="12" t="s">
        <v>138</v>
      </c>
      <c r="H7" s="12" t="s">
        <v>141</v>
      </c>
      <c r="I7" s="12" t="s">
        <v>142</v>
      </c>
      <c r="J7" s="12" t="s">
        <v>147</v>
      </c>
      <c r="K7" s="12" t="s">
        <v>145</v>
      </c>
      <c r="L7" s="12" t="s">
        <v>146</v>
      </c>
      <c r="M7" s="12" t="s">
        <v>144</v>
      </c>
    </row>
    <row r="8" spans="1:13" ht="12.75">
      <c r="A8" s="5" t="s">
        <v>8</v>
      </c>
      <c r="B8" s="6"/>
      <c r="C8" s="6"/>
      <c r="D8" s="6"/>
      <c r="E8" s="6"/>
      <c r="F8" s="6"/>
      <c r="G8" s="45">
        <v>0</v>
      </c>
      <c r="H8" s="45"/>
      <c r="I8" s="45"/>
      <c r="J8" s="6">
        <v>0</v>
      </c>
      <c r="K8" s="6"/>
      <c r="L8" s="6"/>
      <c r="M8" s="45">
        <v>0</v>
      </c>
    </row>
    <row r="9" spans="1:13" ht="12.75">
      <c r="A9" s="5" t="s">
        <v>9</v>
      </c>
      <c r="B9" s="6"/>
      <c r="C9" s="6"/>
      <c r="D9" s="6"/>
      <c r="E9" s="6"/>
      <c r="F9" s="6"/>
      <c r="G9" s="45">
        <v>0</v>
      </c>
      <c r="H9" s="45"/>
      <c r="I9" s="45"/>
      <c r="J9" s="6">
        <v>0</v>
      </c>
      <c r="K9" s="6"/>
      <c r="L9" s="6"/>
      <c r="M9" s="45">
        <v>0</v>
      </c>
    </row>
    <row r="10" spans="1:13" ht="12.75">
      <c r="A10" s="5" t="s">
        <v>10</v>
      </c>
      <c r="B10" s="6"/>
      <c r="C10" s="6"/>
      <c r="D10" s="6"/>
      <c r="E10" s="6"/>
      <c r="F10" s="6"/>
      <c r="G10" s="45">
        <v>0</v>
      </c>
      <c r="H10" s="45"/>
      <c r="I10" s="45"/>
      <c r="J10" s="6">
        <v>0</v>
      </c>
      <c r="K10" s="6"/>
      <c r="L10" s="6"/>
      <c r="M10" s="45">
        <v>0</v>
      </c>
    </row>
    <row r="11" spans="1:13" ht="12.75">
      <c r="A11" s="5" t="s">
        <v>11</v>
      </c>
      <c r="B11" s="6"/>
      <c r="C11" s="6"/>
      <c r="D11" s="6"/>
      <c r="E11" s="6"/>
      <c r="F11" s="6"/>
      <c r="G11" s="26">
        <v>0</v>
      </c>
      <c r="H11" s="26"/>
      <c r="I11" s="26"/>
      <c r="J11" s="6">
        <v>0</v>
      </c>
      <c r="K11" s="6"/>
      <c r="L11" s="6"/>
      <c r="M11" s="45">
        <v>0</v>
      </c>
    </row>
    <row r="12" spans="1:13" ht="12.75">
      <c r="A12" s="5" t="s">
        <v>12</v>
      </c>
      <c r="B12" s="63"/>
      <c r="C12" s="61"/>
      <c r="D12" s="61"/>
      <c r="E12" s="61">
        <f>700035</f>
        <v>700035</v>
      </c>
      <c r="F12" s="73"/>
      <c r="G12" s="26"/>
      <c r="H12" s="26"/>
      <c r="I12" s="104"/>
      <c r="J12" s="6"/>
      <c r="K12" s="6"/>
      <c r="L12" s="105"/>
      <c r="M12" s="45"/>
    </row>
    <row r="13" spans="1:13" ht="12.75">
      <c r="A13" s="5" t="s">
        <v>13</v>
      </c>
      <c r="B13" s="63"/>
      <c r="C13" s="61"/>
      <c r="D13" s="61"/>
      <c r="E13" s="61">
        <v>0</v>
      </c>
      <c r="F13" s="73"/>
      <c r="G13" s="26"/>
      <c r="H13" s="26"/>
      <c r="I13" s="104"/>
      <c r="J13" s="6"/>
      <c r="K13" s="6"/>
      <c r="L13" s="105"/>
      <c r="M13" s="45"/>
    </row>
    <row r="14" spans="1:13" ht="12.75">
      <c r="A14" s="5" t="s">
        <v>14</v>
      </c>
      <c r="B14" s="63"/>
      <c r="C14" s="61"/>
      <c r="D14" s="61"/>
      <c r="E14" s="61">
        <v>935000</v>
      </c>
      <c r="F14" s="73"/>
      <c r="G14" s="26"/>
      <c r="H14" s="26">
        <f>K17*0.1</f>
        <v>35026.05</v>
      </c>
      <c r="I14" s="104"/>
      <c r="J14" s="6"/>
      <c r="K14" s="26"/>
      <c r="L14" s="105"/>
      <c r="M14" s="45">
        <f>K14*L14</f>
        <v>0</v>
      </c>
    </row>
    <row r="15" spans="1:13" ht="12.75">
      <c r="A15" s="5" t="s">
        <v>15</v>
      </c>
      <c r="B15" s="63"/>
      <c r="C15" s="61"/>
      <c r="D15" s="61"/>
      <c r="E15" s="61">
        <v>0</v>
      </c>
      <c r="F15" s="73"/>
      <c r="G15" s="26"/>
      <c r="H15" s="26">
        <f>K17*0.9</f>
        <v>315234.45</v>
      </c>
      <c r="I15" s="104"/>
      <c r="J15" s="6"/>
      <c r="K15" s="26">
        <v>0</v>
      </c>
      <c r="L15" s="105"/>
      <c r="M15" s="45"/>
    </row>
    <row r="16" spans="1:13" ht="12.75">
      <c r="A16" s="5" t="s">
        <v>16</v>
      </c>
      <c r="B16" s="63"/>
      <c r="C16" s="61"/>
      <c r="D16" s="61"/>
      <c r="E16" s="61">
        <f>1445000-197773</f>
        <v>1247227</v>
      </c>
      <c r="F16" s="73"/>
      <c r="G16" s="26"/>
      <c r="H16" s="26">
        <f aca="true" t="shared" si="0" ref="H16:H41">K18</f>
        <v>521733.2</v>
      </c>
      <c r="I16" s="104"/>
      <c r="J16" s="6"/>
      <c r="K16" s="26">
        <v>0</v>
      </c>
      <c r="L16" s="105"/>
      <c r="M16" s="45"/>
    </row>
    <row r="17" spans="1:13" ht="12.75">
      <c r="A17" s="5" t="s">
        <v>17</v>
      </c>
      <c r="B17" s="63"/>
      <c r="C17" s="61"/>
      <c r="D17" s="61"/>
      <c r="E17">
        <v>0</v>
      </c>
      <c r="F17" s="73"/>
      <c r="G17" s="26"/>
      <c r="H17" s="26">
        <f t="shared" si="0"/>
        <v>700848.05</v>
      </c>
      <c r="I17" s="104"/>
      <c r="J17" s="6"/>
      <c r="K17" s="26">
        <f>+E14*0.15+E12*0.3</f>
        <v>350260.5</v>
      </c>
      <c r="L17" s="105"/>
      <c r="M17" s="45"/>
    </row>
    <row r="18" spans="1:13" ht="12.75">
      <c r="A18" s="5" t="s">
        <v>18</v>
      </c>
      <c r="B18" s="63"/>
      <c r="C18" s="61"/>
      <c r="D18" s="61"/>
      <c r="E18" s="61">
        <v>0</v>
      </c>
      <c r="F18" s="73"/>
      <c r="G18" s="26"/>
      <c r="H18" s="26">
        <f t="shared" si="0"/>
        <v>389695.4</v>
      </c>
      <c r="I18" s="104"/>
      <c r="J18" s="6"/>
      <c r="K18" s="26">
        <f>+E14*0.2+E16*0.1+E12*0.3</f>
        <v>521733.2</v>
      </c>
      <c r="L18" s="105"/>
      <c r="M18" s="45"/>
    </row>
    <row r="19" spans="1:13" ht="12.75">
      <c r="A19" s="5" t="s">
        <v>19</v>
      </c>
      <c r="B19" s="63"/>
      <c r="C19" s="61"/>
      <c r="D19" s="61"/>
      <c r="E19" s="61">
        <v>0</v>
      </c>
      <c r="F19" s="73"/>
      <c r="G19" s="26"/>
      <c r="H19" s="26">
        <f t="shared" si="0"/>
        <v>420834.05</v>
      </c>
      <c r="I19" s="104"/>
      <c r="J19" s="6"/>
      <c r="K19" s="26">
        <f>+E14*0.25+E16*0.15+E12*0.4</f>
        <v>700848.05</v>
      </c>
      <c r="L19" s="105"/>
      <c r="M19" s="45"/>
    </row>
    <row r="20" spans="1:13" ht="12.75">
      <c r="A20" s="5" t="s">
        <v>20</v>
      </c>
      <c r="B20" s="63"/>
      <c r="C20" s="61"/>
      <c r="D20" s="61"/>
      <c r="E20" s="61">
        <v>0</v>
      </c>
      <c r="F20" s="73"/>
      <c r="G20" s="26"/>
      <c r="H20" s="26">
        <f t="shared" si="0"/>
        <v>264972.7</v>
      </c>
      <c r="I20" s="104"/>
      <c r="J20" s="6"/>
      <c r="K20" s="26">
        <f>+E14*0.15+E16*0.2</f>
        <v>389695.4</v>
      </c>
      <c r="L20" s="105"/>
      <c r="M20" s="45"/>
    </row>
    <row r="21" spans="1:13" ht="12.75">
      <c r="A21" s="5" t="s">
        <v>21</v>
      </c>
      <c r="B21" s="63"/>
      <c r="C21" s="61"/>
      <c r="D21" s="61"/>
      <c r="E21" s="61">
        <v>1402500</v>
      </c>
      <c r="F21" s="73"/>
      <c r="G21" s="26"/>
      <c r="H21" s="26">
        <f t="shared" si="0"/>
        <v>264972.7</v>
      </c>
      <c r="I21" s="104"/>
      <c r="J21" s="6"/>
      <c r="K21" s="26">
        <f>+E14*0.25+E16*0.15</f>
        <v>420834.05</v>
      </c>
      <c r="L21" s="105"/>
      <c r="M21" s="45"/>
    </row>
    <row r="22" spans="1:13" ht="12.75">
      <c r="A22" s="5" t="s">
        <v>22</v>
      </c>
      <c r="B22" s="63"/>
      <c r="C22" s="61"/>
      <c r="D22" s="61"/>
      <c r="E22" s="61">
        <v>0</v>
      </c>
      <c r="F22" s="73"/>
      <c r="G22" s="26"/>
      <c r="H22" s="26">
        <f t="shared" si="0"/>
        <v>529945.4</v>
      </c>
      <c r="I22" s="104"/>
      <c r="J22" s="6"/>
      <c r="K22" s="26">
        <f>E16*0.1+E21*0.1</f>
        <v>264972.7</v>
      </c>
      <c r="L22" s="105"/>
      <c r="M22" s="45"/>
    </row>
    <row r="23" spans="1:13" ht="12.75">
      <c r="A23" s="5" t="s">
        <v>23</v>
      </c>
      <c r="B23" s="63"/>
      <c r="C23" s="61"/>
      <c r="D23" s="61"/>
      <c r="E23" s="61">
        <v>0</v>
      </c>
      <c r="F23" s="73"/>
      <c r="G23" s="26"/>
      <c r="H23" s="26">
        <f t="shared" si="0"/>
        <v>210375</v>
      </c>
      <c r="I23" s="104"/>
      <c r="J23" s="6"/>
      <c r="K23" s="26">
        <f>E16*0.1+E21*0.1</f>
        <v>264972.7</v>
      </c>
      <c r="L23" s="105"/>
      <c r="M23" s="45"/>
    </row>
    <row r="24" spans="1:13" ht="12.75">
      <c r="A24" s="5" t="s">
        <v>24</v>
      </c>
      <c r="B24" s="63"/>
      <c r="C24" s="61"/>
      <c r="D24" s="62"/>
      <c r="E24" s="61">
        <v>0</v>
      </c>
      <c r="F24" s="73"/>
      <c r="G24" s="26"/>
      <c r="H24" s="26">
        <f t="shared" si="0"/>
        <v>210375</v>
      </c>
      <c r="I24" s="104"/>
      <c r="J24" s="6"/>
      <c r="K24" s="26">
        <f>E16*0.2+E21*0.2</f>
        <v>529945.4</v>
      </c>
      <c r="L24" s="105"/>
      <c r="M24" s="45"/>
    </row>
    <row r="25" spans="1:13" ht="12.75">
      <c r="A25" s="5" t="s">
        <v>25</v>
      </c>
      <c r="B25" s="63"/>
      <c r="C25" s="61"/>
      <c r="D25" s="61"/>
      <c r="E25" s="61">
        <v>0</v>
      </c>
      <c r="F25" s="73"/>
      <c r="G25" s="26"/>
      <c r="H25" s="26">
        <f t="shared" si="0"/>
        <v>140250</v>
      </c>
      <c r="I25" s="104"/>
      <c r="J25" s="6"/>
      <c r="K25" s="26">
        <f>E21*0.15</f>
        <v>210375</v>
      </c>
      <c r="L25" s="105"/>
      <c r="M25" s="45"/>
    </row>
    <row r="26" spans="1:13" ht="12.75">
      <c r="A26" s="5" t="s">
        <v>26</v>
      </c>
      <c r="B26" s="63"/>
      <c r="C26" s="61"/>
      <c r="D26" s="61"/>
      <c r="E26" s="61">
        <v>1275000</v>
      </c>
      <c r="F26" s="73"/>
      <c r="G26" s="26"/>
      <c r="H26" s="26">
        <f t="shared" si="0"/>
        <v>197625</v>
      </c>
      <c r="I26" s="104"/>
      <c r="J26" s="6"/>
      <c r="K26" s="26">
        <f>E21*0.15</f>
        <v>210375</v>
      </c>
      <c r="L26" s="105"/>
      <c r="M26" s="45"/>
    </row>
    <row r="27" spans="1:13" ht="12.75">
      <c r="A27" s="5" t="s">
        <v>27</v>
      </c>
      <c r="B27" s="63"/>
      <c r="C27" s="61"/>
      <c r="D27" s="61"/>
      <c r="E27" s="61">
        <v>0</v>
      </c>
      <c r="F27" s="73"/>
      <c r="G27" s="26"/>
      <c r="H27" s="26">
        <f t="shared" si="0"/>
        <v>401625</v>
      </c>
      <c r="I27" s="104"/>
      <c r="J27" s="6"/>
      <c r="K27" s="26">
        <f>E21*0.1</f>
        <v>140250</v>
      </c>
      <c r="L27" s="105"/>
      <c r="M27" s="45"/>
    </row>
    <row r="28" spans="1:13" ht="12.75">
      <c r="A28" s="5" t="s">
        <v>28</v>
      </c>
      <c r="B28" s="63"/>
      <c r="C28" s="61"/>
      <c r="D28" s="61"/>
      <c r="E28" s="61">
        <v>0</v>
      </c>
      <c r="F28" s="73"/>
      <c r="G28" s="26"/>
      <c r="H28" s="26">
        <f t="shared" si="0"/>
        <v>191250</v>
      </c>
      <c r="I28" s="104"/>
      <c r="J28" s="6"/>
      <c r="K28" s="26">
        <f>E21*0.05+E26*0.1</f>
        <v>197625</v>
      </c>
      <c r="L28" s="105"/>
      <c r="M28" s="45"/>
    </row>
    <row r="29" spans="1:13" ht="12.75">
      <c r="A29" s="5" t="s">
        <v>29</v>
      </c>
      <c r="B29" s="63"/>
      <c r="C29" s="61"/>
      <c r="D29" s="61"/>
      <c r="E29" s="61">
        <v>0</v>
      </c>
      <c r="F29" s="73"/>
      <c r="G29" s="26"/>
      <c r="H29" s="26">
        <f t="shared" si="0"/>
        <v>255000</v>
      </c>
      <c r="I29" s="104"/>
      <c r="J29" s="6"/>
      <c r="K29" s="26">
        <f>E21*0.15+E26*0.15</f>
        <v>401625</v>
      </c>
      <c r="L29" s="105"/>
      <c r="M29" s="45"/>
    </row>
    <row r="30" spans="1:13" ht="12.75">
      <c r="A30" s="5" t="s">
        <v>30</v>
      </c>
      <c r="B30" s="63"/>
      <c r="C30" s="61"/>
      <c r="D30" s="61"/>
      <c r="E30" s="61">
        <v>1233318.55</v>
      </c>
      <c r="F30" s="73"/>
      <c r="G30" s="26"/>
      <c r="H30" s="26">
        <f t="shared" si="0"/>
        <v>378331.855</v>
      </c>
      <c r="I30" s="104"/>
      <c r="J30" s="6"/>
      <c r="K30" s="26">
        <f>E26*0.15</f>
        <v>191250</v>
      </c>
      <c r="L30" s="105"/>
      <c r="M30" s="45"/>
    </row>
    <row r="31" spans="1:13" ht="12.75">
      <c r="A31" s="5" t="s">
        <v>31</v>
      </c>
      <c r="B31" s="63"/>
      <c r="C31" s="61"/>
      <c r="D31" s="61"/>
      <c r="E31" s="61">
        <v>0</v>
      </c>
      <c r="F31" s="73"/>
      <c r="G31" s="26"/>
      <c r="H31" s="26">
        <f t="shared" si="0"/>
        <v>439997.7825</v>
      </c>
      <c r="I31" s="104"/>
      <c r="J31" s="6"/>
      <c r="K31" s="26">
        <f>E26*0.2</f>
        <v>255000</v>
      </c>
      <c r="L31" s="105"/>
      <c r="M31" s="45"/>
    </row>
    <row r="32" spans="1:13" ht="12.75">
      <c r="A32" s="5" t="s">
        <v>32</v>
      </c>
      <c r="B32" s="63"/>
      <c r="C32" s="61"/>
      <c r="D32" s="61"/>
      <c r="E32" s="61">
        <v>0</v>
      </c>
      <c r="F32" s="73"/>
      <c r="G32" s="26"/>
      <c r="H32" s="26">
        <f t="shared" si="0"/>
        <v>184997.7825</v>
      </c>
      <c r="I32" s="104"/>
      <c r="J32" s="6"/>
      <c r="K32" s="26">
        <f>E26*0.2+E30*0.1</f>
        <v>378331.855</v>
      </c>
      <c r="L32" s="105"/>
      <c r="M32" s="45"/>
    </row>
    <row r="33" spans="1:13" ht="12.75">
      <c r="A33" s="5" t="s">
        <v>33</v>
      </c>
      <c r="B33" s="61"/>
      <c r="C33" s="61"/>
      <c r="D33" s="62"/>
      <c r="E33" s="62">
        <v>0</v>
      </c>
      <c r="F33" s="73"/>
      <c r="G33" s="26"/>
      <c r="H33" s="26">
        <f t="shared" si="0"/>
        <v>123331.85500000001</v>
      </c>
      <c r="I33" s="104"/>
      <c r="J33" s="6"/>
      <c r="K33" s="26">
        <f>E26*0.2+E30*0.15</f>
        <v>439997.7825</v>
      </c>
      <c r="L33" s="105"/>
      <c r="M33" s="45"/>
    </row>
    <row r="34" spans="1:13" ht="12.75">
      <c r="A34" s="5" t="s">
        <v>34</v>
      </c>
      <c r="B34" s="61"/>
      <c r="C34" s="61"/>
      <c r="D34" s="62"/>
      <c r="E34" s="62">
        <v>565709</v>
      </c>
      <c r="F34" s="73"/>
      <c r="G34" s="26"/>
      <c r="H34" s="26">
        <f t="shared" si="0"/>
        <v>241568.6825</v>
      </c>
      <c r="I34" s="104"/>
      <c r="J34" s="6"/>
      <c r="K34" s="26">
        <f>E30*0.15</f>
        <v>184997.7825</v>
      </c>
      <c r="L34" s="105"/>
      <c r="M34" s="45"/>
    </row>
    <row r="35" spans="1:13" ht="12.75">
      <c r="A35" s="5" t="s">
        <v>35</v>
      </c>
      <c r="B35" s="61"/>
      <c r="C35" s="61"/>
      <c r="D35" s="62"/>
      <c r="E35" s="61"/>
      <c r="F35" s="73"/>
      <c r="G35" s="26"/>
      <c r="H35" s="26">
        <f t="shared" si="0"/>
        <v>118236.82750000001</v>
      </c>
      <c r="I35" s="104"/>
      <c r="J35" s="6"/>
      <c r="K35" s="26">
        <f>E30*0.1</f>
        <v>123331.85500000001</v>
      </c>
      <c r="L35" s="105"/>
      <c r="M35" s="45"/>
    </row>
    <row r="36" spans="1:13" ht="12.75">
      <c r="A36" s="5" t="s">
        <v>36</v>
      </c>
      <c r="B36" s="61"/>
      <c r="C36" s="61"/>
      <c r="D36" s="62"/>
      <c r="E36" s="61"/>
      <c r="F36" s="62"/>
      <c r="G36" s="6"/>
      <c r="H36" s="26">
        <f t="shared" si="0"/>
        <v>179902.755</v>
      </c>
      <c r="I36" s="104"/>
      <c r="J36" s="6"/>
      <c r="K36" s="26">
        <f>E30*0.15+E34*0.1</f>
        <v>241568.6825</v>
      </c>
      <c r="L36" s="105"/>
      <c r="M36" s="45"/>
    </row>
    <row r="37" spans="1:13" ht="12.75">
      <c r="A37" s="5" t="s">
        <v>37</v>
      </c>
      <c r="B37" s="57"/>
      <c r="C37" s="57"/>
      <c r="D37" s="58"/>
      <c r="E37" s="61"/>
      <c r="F37" s="58"/>
      <c r="G37" s="6"/>
      <c r="H37" s="26">
        <f t="shared" si="0"/>
        <v>146522.2775</v>
      </c>
      <c r="I37" s="104"/>
      <c r="J37" s="6"/>
      <c r="K37" s="26">
        <f>E30*0.05+E34*0.1</f>
        <v>118236.82750000001</v>
      </c>
      <c r="L37" s="105"/>
      <c r="M37" s="45"/>
    </row>
    <row r="38" spans="1:13" ht="12.75">
      <c r="A38" s="5" t="s">
        <v>38</v>
      </c>
      <c r="B38" s="57"/>
      <c r="C38" s="57"/>
      <c r="D38" s="58"/>
      <c r="E38" s="115"/>
      <c r="F38" s="58"/>
      <c r="G38" s="6"/>
      <c r="H38" s="26">
        <f t="shared" si="0"/>
        <v>269854.1325</v>
      </c>
      <c r="I38" s="104"/>
      <c r="J38" s="6"/>
      <c r="K38" s="26">
        <f>E30*0.1+E34*0.1</f>
        <v>179902.755</v>
      </c>
      <c r="L38" s="105"/>
      <c r="M38" s="45"/>
    </row>
    <row r="39" spans="1:13" ht="12.75">
      <c r="A39" s="5" t="s">
        <v>39</v>
      </c>
      <c r="B39" s="57"/>
      <c r="C39" s="57"/>
      <c r="D39" s="58"/>
      <c r="E39" s="58"/>
      <c r="F39" s="58"/>
      <c r="G39" s="6"/>
      <c r="H39" s="26">
        <f t="shared" si="0"/>
        <v>113141.8</v>
      </c>
      <c r="I39" s="104"/>
      <c r="J39" s="6"/>
      <c r="K39" s="26">
        <f>E30*0.05+E34*0.15</f>
        <v>146522.2775</v>
      </c>
      <c r="L39" s="105"/>
      <c r="M39" s="45"/>
    </row>
    <row r="40" spans="1:13" ht="12.75">
      <c r="A40" s="5" t="s">
        <v>40</v>
      </c>
      <c r="B40" s="57"/>
      <c r="C40" s="58"/>
      <c r="D40" s="58"/>
      <c r="E40" s="58"/>
      <c r="F40" s="58"/>
      <c r="G40" s="6"/>
      <c r="H40" s="26">
        <f t="shared" si="0"/>
        <v>113141.8</v>
      </c>
      <c r="I40" s="104"/>
      <c r="J40" s="6"/>
      <c r="K40" s="26">
        <f>E30*0.15+E34*0.15</f>
        <v>269854.1325</v>
      </c>
      <c r="L40" s="105"/>
      <c r="M40" s="45"/>
    </row>
    <row r="41" spans="1:13" ht="12.75">
      <c r="A41" s="5" t="s">
        <v>41</v>
      </c>
      <c r="B41" s="57"/>
      <c r="C41" s="58"/>
      <c r="D41" s="58"/>
      <c r="E41" s="58"/>
      <c r="F41" s="58"/>
      <c r="G41" s="6"/>
      <c r="H41" s="26">
        <f t="shared" si="0"/>
        <v>0</v>
      </c>
      <c r="I41" s="104"/>
      <c r="J41" s="6"/>
      <c r="K41" s="26">
        <f>E34*0.2</f>
        <v>113141.8</v>
      </c>
      <c r="L41" s="105"/>
      <c r="M41" s="45"/>
    </row>
    <row r="42" spans="1:13" ht="12.75">
      <c r="A42" s="5" t="s">
        <v>42</v>
      </c>
      <c r="B42" s="57"/>
      <c r="C42" s="58"/>
      <c r="D42" s="58"/>
      <c r="E42" s="58"/>
      <c r="F42" s="58"/>
      <c r="G42" s="6"/>
      <c r="H42" s="6"/>
      <c r="I42" s="6"/>
      <c r="J42" s="6"/>
      <c r="K42" s="26">
        <f>E34*0.2</f>
        <v>113141.8</v>
      </c>
      <c r="L42" s="105"/>
      <c r="M42" s="45"/>
    </row>
    <row r="43" spans="1:13" ht="12.75">
      <c r="A43" s="5" t="s">
        <v>43</v>
      </c>
      <c r="B43" s="57"/>
      <c r="C43" s="58"/>
      <c r="D43" s="58"/>
      <c r="E43" s="58"/>
      <c r="F43" s="58"/>
      <c r="H43" s="6"/>
      <c r="J43" s="114"/>
      <c r="K43" s="6"/>
      <c r="L43" s="6"/>
      <c r="M43" s="6"/>
    </row>
    <row r="44" spans="1:13" ht="12.75">
      <c r="A44" s="5"/>
      <c r="B44" s="6"/>
      <c r="G44" s="6"/>
      <c r="H44" s="6"/>
      <c r="I44" s="6"/>
      <c r="J44" s="6"/>
      <c r="K44" s="6"/>
      <c r="L44" s="6"/>
      <c r="M44" s="6"/>
    </row>
    <row r="45" spans="10:13" ht="12.75">
      <c r="J45" s="6"/>
      <c r="K45" s="6"/>
      <c r="L45" s="6"/>
      <c r="M45" s="6"/>
    </row>
    <row r="46" ht="12.75">
      <c r="M46" s="6"/>
    </row>
    <row r="48" ht="12.75">
      <c r="A48" t="s">
        <v>58</v>
      </c>
    </row>
    <row r="50" spans="1:13" ht="38.25">
      <c r="A50" s="4" t="s">
        <v>4</v>
      </c>
      <c r="B50" s="4" t="s">
        <v>5</v>
      </c>
      <c r="C50" s="4" t="s">
        <v>6</v>
      </c>
      <c r="D50" s="4" t="s">
        <v>7</v>
      </c>
      <c r="E50" s="12" t="s">
        <v>137</v>
      </c>
      <c r="F50" s="12" t="s">
        <v>139</v>
      </c>
      <c r="G50" s="12" t="s">
        <v>138</v>
      </c>
      <c r="H50" s="12" t="s">
        <v>141</v>
      </c>
      <c r="I50" s="12" t="s">
        <v>142</v>
      </c>
      <c r="J50" s="12" t="s">
        <v>147</v>
      </c>
      <c r="K50" s="12" t="s">
        <v>145</v>
      </c>
      <c r="L50" s="12" t="s">
        <v>146</v>
      </c>
      <c r="M50" s="12" t="s">
        <v>144</v>
      </c>
    </row>
    <row r="51" spans="1:13" ht="12.75">
      <c r="A51" s="5" t="s">
        <v>8</v>
      </c>
      <c r="B51">
        <v>0</v>
      </c>
      <c r="C51" s="6">
        <v>0</v>
      </c>
      <c r="D51" s="6">
        <v>0</v>
      </c>
      <c r="E51" s="6"/>
      <c r="F51" s="6"/>
      <c r="G51" s="6">
        <f>G8</f>
        <v>0</v>
      </c>
      <c r="H51" s="6"/>
      <c r="I51" s="6"/>
      <c r="J51" s="6">
        <f>J8</f>
        <v>0</v>
      </c>
      <c r="K51" s="6"/>
      <c r="L51" s="6"/>
      <c r="M51" s="6">
        <f>M8</f>
        <v>0</v>
      </c>
    </row>
    <row r="52" spans="1:13" ht="12.75">
      <c r="A52" s="5" t="s">
        <v>9</v>
      </c>
      <c r="B52">
        <v>0</v>
      </c>
      <c r="C52" s="6">
        <v>0</v>
      </c>
      <c r="D52" s="6">
        <v>0</v>
      </c>
      <c r="E52" s="6"/>
      <c r="F52" s="6"/>
      <c r="G52" s="6">
        <f aca="true" t="shared" si="1" ref="G52:G86">G51+G9</f>
        <v>0</v>
      </c>
      <c r="H52" s="6"/>
      <c r="I52" s="6"/>
      <c r="J52" s="6">
        <f aca="true" t="shared" si="2" ref="J52:J86">J51+J9</f>
        <v>0</v>
      </c>
      <c r="K52" s="6"/>
      <c r="L52" s="6"/>
      <c r="M52" s="6">
        <f aca="true" t="shared" si="3" ref="M52:M86">M51+M9</f>
        <v>0</v>
      </c>
    </row>
    <row r="53" spans="1:13" ht="12.75">
      <c r="A53" s="5" t="s">
        <v>10</v>
      </c>
      <c r="B53">
        <v>0</v>
      </c>
      <c r="C53" s="6">
        <v>0</v>
      </c>
      <c r="D53" s="6">
        <v>0</v>
      </c>
      <c r="E53" s="6"/>
      <c r="F53" s="6"/>
      <c r="G53" s="6">
        <f t="shared" si="1"/>
        <v>0</v>
      </c>
      <c r="H53" s="6"/>
      <c r="I53" s="6"/>
      <c r="J53" s="6">
        <f t="shared" si="2"/>
        <v>0</v>
      </c>
      <c r="K53" s="6"/>
      <c r="L53" s="6"/>
      <c r="M53" s="6">
        <f t="shared" si="3"/>
        <v>0</v>
      </c>
    </row>
    <row r="54" spans="1:13" ht="12.75">
      <c r="A54" s="5" t="s">
        <v>11</v>
      </c>
      <c r="B54" s="6"/>
      <c r="C54" s="6"/>
      <c r="D54" s="6"/>
      <c r="E54" s="6"/>
      <c r="F54" s="6"/>
      <c r="G54" s="6">
        <f t="shared" si="1"/>
        <v>0</v>
      </c>
      <c r="H54" s="6"/>
      <c r="I54" s="6"/>
      <c r="J54" s="6">
        <f t="shared" si="2"/>
        <v>0</v>
      </c>
      <c r="K54" s="6"/>
      <c r="L54" s="6"/>
      <c r="M54" s="6">
        <f t="shared" si="3"/>
        <v>0</v>
      </c>
    </row>
    <row r="55" spans="1:13" ht="12.75">
      <c r="A55" s="5" t="s">
        <v>12</v>
      </c>
      <c r="B55" s="6"/>
      <c r="C55" s="6"/>
      <c r="D55" s="6"/>
      <c r="E55" s="6">
        <f aca="true" t="shared" si="4" ref="E55:E86">E54+E12</f>
        <v>700035</v>
      </c>
      <c r="F55" s="6"/>
      <c r="G55" s="6">
        <f t="shared" si="1"/>
        <v>0</v>
      </c>
      <c r="H55" s="6"/>
      <c r="I55" s="6"/>
      <c r="J55" s="6">
        <f t="shared" si="2"/>
        <v>0</v>
      </c>
      <c r="K55" s="6"/>
      <c r="L55" s="6"/>
      <c r="M55" s="6">
        <f t="shared" si="3"/>
        <v>0</v>
      </c>
    </row>
    <row r="56" spans="1:13" ht="12.75">
      <c r="A56" s="5" t="s">
        <v>13</v>
      </c>
      <c r="B56" s="6"/>
      <c r="C56" s="6"/>
      <c r="D56" s="6"/>
      <c r="E56" s="6">
        <f t="shared" si="4"/>
        <v>700035</v>
      </c>
      <c r="F56" s="6"/>
      <c r="G56" s="6">
        <f t="shared" si="1"/>
        <v>0</v>
      </c>
      <c r="H56" s="6">
        <f aca="true" t="shared" si="5" ref="H56:H86">H55+H13</f>
        <v>0</v>
      </c>
      <c r="I56" s="6"/>
      <c r="J56" s="6">
        <f t="shared" si="2"/>
        <v>0</v>
      </c>
      <c r="K56" s="6"/>
      <c r="L56" s="6"/>
      <c r="M56" s="6">
        <f t="shared" si="3"/>
        <v>0</v>
      </c>
    </row>
    <row r="57" spans="1:13" ht="12.75">
      <c r="A57" s="5" t="s">
        <v>14</v>
      </c>
      <c r="B57" s="6"/>
      <c r="C57" s="6"/>
      <c r="D57" s="6"/>
      <c r="E57" s="6">
        <f t="shared" si="4"/>
        <v>1635035</v>
      </c>
      <c r="F57" s="6"/>
      <c r="G57" s="6">
        <f t="shared" si="1"/>
        <v>0</v>
      </c>
      <c r="H57" s="6">
        <f t="shared" si="5"/>
        <v>35026.05</v>
      </c>
      <c r="I57" s="6"/>
      <c r="J57" s="6">
        <f t="shared" si="2"/>
        <v>0</v>
      </c>
      <c r="K57" s="6">
        <f aca="true" t="shared" si="6" ref="K57:K86">K56+K14</f>
        <v>0</v>
      </c>
      <c r="L57" s="6"/>
      <c r="M57" s="6">
        <f t="shared" si="3"/>
        <v>0</v>
      </c>
    </row>
    <row r="58" spans="1:13" ht="12.75">
      <c r="A58" s="5" t="s">
        <v>15</v>
      </c>
      <c r="B58" s="6"/>
      <c r="C58" s="6"/>
      <c r="D58" s="6"/>
      <c r="E58" s="6">
        <f t="shared" si="4"/>
        <v>1635035</v>
      </c>
      <c r="F58" s="6"/>
      <c r="G58" s="6">
        <f t="shared" si="1"/>
        <v>0</v>
      </c>
      <c r="H58" s="6">
        <f t="shared" si="5"/>
        <v>350260.5</v>
      </c>
      <c r="I58" s="6"/>
      <c r="J58" s="6">
        <f t="shared" si="2"/>
        <v>0</v>
      </c>
      <c r="K58" s="6">
        <f t="shared" si="6"/>
        <v>0</v>
      </c>
      <c r="L58" s="6"/>
      <c r="M58" s="6">
        <f t="shared" si="3"/>
        <v>0</v>
      </c>
    </row>
    <row r="59" spans="1:13" ht="12.75">
      <c r="A59" s="5" t="s">
        <v>16</v>
      </c>
      <c r="B59" s="6"/>
      <c r="C59" s="6"/>
      <c r="D59" s="6"/>
      <c r="E59" s="6">
        <f t="shared" si="4"/>
        <v>2882262</v>
      </c>
      <c r="F59" s="6"/>
      <c r="G59" s="6">
        <f t="shared" si="1"/>
        <v>0</v>
      </c>
      <c r="H59" s="6">
        <f t="shared" si="5"/>
        <v>871993.7</v>
      </c>
      <c r="I59" s="6"/>
      <c r="J59" s="6">
        <f t="shared" si="2"/>
        <v>0</v>
      </c>
      <c r="K59" s="6">
        <f t="shared" si="6"/>
        <v>0</v>
      </c>
      <c r="L59" s="6"/>
      <c r="M59" s="6">
        <f t="shared" si="3"/>
        <v>0</v>
      </c>
    </row>
    <row r="60" spans="1:13" ht="12.75">
      <c r="A60" s="5" t="s">
        <v>17</v>
      </c>
      <c r="B60" s="6"/>
      <c r="C60" s="6"/>
      <c r="D60" s="6"/>
      <c r="E60" s="6">
        <f t="shared" si="4"/>
        <v>2882262</v>
      </c>
      <c r="F60" s="6"/>
      <c r="G60" s="6">
        <f t="shared" si="1"/>
        <v>0</v>
      </c>
      <c r="H60" s="6">
        <f t="shared" si="5"/>
        <v>1572841.75</v>
      </c>
      <c r="I60" s="6"/>
      <c r="J60" s="6">
        <f t="shared" si="2"/>
        <v>0</v>
      </c>
      <c r="K60" s="6">
        <f>K59+K17</f>
        <v>350260.5</v>
      </c>
      <c r="L60" s="6"/>
      <c r="M60" s="6">
        <f t="shared" si="3"/>
        <v>0</v>
      </c>
    </row>
    <row r="61" spans="1:13" ht="12.75">
      <c r="A61" s="5" t="s">
        <v>18</v>
      </c>
      <c r="B61" s="6"/>
      <c r="C61" s="6"/>
      <c r="D61" s="6"/>
      <c r="E61" s="6">
        <f t="shared" si="4"/>
        <v>2882262</v>
      </c>
      <c r="F61" s="6"/>
      <c r="G61" s="6">
        <f t="shared" si="1"/>
        <v>0</v>
      </c>
      <c r="H61" s="6">
        <f t="shared" si="5"/>
        <v>1962537.15</v>
      </c>
      <c r="I61" s="6"/>
      <c r="J61" s="6">
        <f t="shared" si="2"/>
        <v>0</v>
      </c>
      <c r="K61" s="6">
        <f t="shared" si="6"/>
        <v>871993.7</v>
      </c>
      <c r="L61" s="6"/>
      <c r="M61" s="6">
        <f t="shared" si="3"/>
        <v>0</v>
      </c>
    </row>
    <row r="62" spans="1:13" ht="12.75">
      <c r="A62" s="5" t="s">
        <v>19</v>
      </c>
      <c r="B62" s="6"/>
      <c r="C62" s="6"/>
      <c r="D62" s="6"/>
      <c r="E62" s="6">
        <f t="shared" si="4"/>
        <v>2882262</v>
      </c>
      <c r="F62" s="6"/>
      <c r="G62" s="6">
        <f t="shared" si="1"/>
        <v>0</v>
      </c>
      <c r="H62" s="6">
        <f t="shared" si="5"/>
        <v>2383371.1999999997</v>
      </c>
      <c r="I62" s="6"/>
      <c r="J62" s="6">
        <f t="shared" si="2"/>
        <v>0</v>
      </c>
      <c r="K62" s="6">
        <f t="shared" si="6"/>
        <v>1572841.75</v>
      </c>
      <c r="L62" s="6"/>
      <c r="M62" s="6">
        <f t="shared" si="3"/>
        <v>0</v>
      </c>
    </row>
    <row r="63" spans="1:13" ht="12.75">
      <c r="A63" s="5" t="s">
        <v>20</v>
      </c>
      <c r="B63" s="6"/>
      <c r="C63" s="6"/>
      <c r="D63" s="6"/>
      <c r="E63" s="6">
        <f t="shared" si="4"/>
        <v>2882262</v>
      </c>
      <c r="F63" s="6"/>
      <c r="G63" s="6">
        <f t="shared" si="1"/>
        <v>0</v>
      </c>
      <c r="H63" s="6">
        <f t="shared" si="5"/>
        <v>2648343.9</v>
      </c>
      <c r="I63" s="6"/>
      <c r="J63" s="6">
        <f t="shared" si="2"/>
        <v>0</v>
      </c>
      <c r="K63" s="6">
        <f t="shared" si="6"/>
        <v>1962537.15</v>
      </c>
      <c r="L63" s="6"/>
      <c r="M63" s="6">
        <f t="shared" si="3"/>
        <v>0</v>
      </c>
    </row>
    <row r="64" spans="1:13" ht="12.75">
      <c r="A64" s="5" t="s">
        <v>21</v>
      </c>
      <c r="B64" s="6"/>
      <c r="C64" s="6"/>
      <c r="D64" s="6"/>
      <c r="E64" s="6">
        <f t="shared" si="4"/>
        <v>4284762</v>
      </c>
      <c r="F64" s="6"/>
      <c r="G64" s="6">
        <f t="shared" si="1"/>
        <v>0</v>
      </c>
      <c r="H64" s="6">
        <f t="shared" si="5"/>
        <v>2913316.6</v>
      </c>
      <c r="I64" s="6"/>
      <c r="J64" s="6">
        <f t="shared" si="2"/>
        <v>0</v>
      </c>
      <c r="K64" s="6">
        <f t="shared" si="6"/>
        <v>2383371.1999999997</v>
      </c>
      <c r="L64" s="6"/>
      <c r="M64" s="6">
        <f t="shared" si="3"/>
        <v>0</v>
      </c>
    </row>
    <row r="65" spans="1:13" ht="12.75">
      <c r="A65" s="5" t="s">
        <v>22</v>
      </c>
      <c r="B65" s="6"/>
      <c r="C65" s="6"/>
      <c r="D65" s="6"/>
      <c r="E65" s="6">
        <f t="shared" si="4"/>
        <v>4284762</v>
      </c>
      <c r="F65" s="6"/>
      <c r="G65" s="6">
        <f t="shared" si="1"/>
        <v>0</v>
      </c>
      <c r="H65" s="6">
        <f t="shared" si="5"/>
        <v>3443262</v>
      </c>
      <c r="I65" s="6"/>
      <c r="J65" s="6">
        <f t="shared" si="2"/>
        <v>0</v>
      </c>
      <c r="K65" s="6">
        <f t="shared" si="6"/>
        <v>2648343.9</v>
      </c>
      <c r="L65" s="6"/>
      <c r="M65" s="6">
        <f t="shared" si="3"/>
        <v>0</v>
      </c>
    </row>
    <row r="66" spans="1:13" ht="12.75">
      <c r="A66" s="5" t="s">
        <v>23</v>
      </c>
      <c r="B66" s="6"/>
      <c r="C66" s="6"/>
      <c r="D66" s="6"/>
      <c r="E66" s="6">
        <f t="shared" si="4"/>
        <v>4284762</v>
      </c>
      <c r="F66" s="6"/>
      <c r="G66" s="6">
        <f t="shared" si="1"/>
        <v>0</v>
      </c>
      <c r="H66" s="6">
        <f t="shared" si="5"/>
        <v>3653637</v>
      </c>
      <c r="I66" s="6"/>
      <c r="J66" s="6">
        <f t="shared" si="2"/>
        <v>0</v>
      </c>
      <c r="K66" s="6">
        <f t="shared" si="6"/>
        <v>2913316.6</v>
      </c>
      <c r="L66" s="6"/>
      <c r="M66" s="6">
        <f t="shared" si="3"/>
        <v>0</v>
      </c>
    </row>
    <row r="67" spans="1:13" ht="12.75">
      <c r="A67" s="5" t="s">
        <v>24</v>
      </c>
      <c r="B67" s="6"/>
      <c r="C67" s="6"/>
      <c r="D67" s="6"/>
      <c r="E67" s="6">
        <f t="shared" si="4"/>
        <v>4284762</v>
      </c>
      <c r="F67" s="6"/>
      <c r="G67" s="6">
        <f t="shared" si="1"/>
        <v>0</v>
      </c>
      <c r="H67" s="6">
        <f t="shared" si="5"/>
        <v>3864012</v>
      </c>
      <c r="I67" s="6"/>
      <c r="J67" s="6">
        <f t="shared" si="2"/>
        <v>0</v>
      </c>
      <c r="K67" s="6">
        <f t="shared" si="6"/>
        <v>3443262</v>
      </c>
      <c r="L67" s="6"/>
      <c r="M67" s="6">
        <f t="shared" si="3"/>
        <v>0</v>
      </c>
    </row>
    <row r="68" spans="1:13" ht="12.75">
      <c r="A68" s="5" t="s">
        <v>25</v>
      </c>
      <c r="B68" s="6"/>
      <c r="C68" s="6"/>
      <c r="D68" s="6"/>
      <c r="E68" s="6">
        <f t="shared" si="4"/>
        <v>4284762</v>
      </c>
      <c r="F68" s="6"/>
      <c r="G68" s="6">
        <f t="shared" si="1"/>
        <v>0</v>
      </c>
      <c r="H68" s="6">
        <f t="shared" si="5"/>
        <v>4004262</v>
      </c>
      <c r="I68" s="6"/>
      <c r="J68" s="6">
        <f t="shared" si="2"/>
        <v>0</v>
      </c>
      <c r="K68" s="6">
        <f t="shared" si="6"/>
        <v>3653637</v>
      </c>
      <c r="L68" s="6"/>
      <c r="M68" s="6">
        <f t="shared" si="3"/>
        <v>0</v>
      </c>
    </row>
    <row r="69" spans="1:13" ht="12.75">
      <c r="A69" s="5" t="s">
        <v>26</v>
      </c>
      <c r="B69" s="6"/>
      <c r="C69" s="6"/>
      <c r="D69" s="6"/>
      <c r="E69" s="6">
        <f t="shared" si="4"/>
        <v>5559762</v>
      </c>
      <c r="F69" s="6"/>
      <c r="G69" s="6">
        <f t="shared" si="1"/>
        <v>0</v>
      </c>
      <c r="H69" s="6">
        <f t="shared" si="5"/>
        <v>4201887</v>
      </c>
      <c r="I69" s="6"/>
      <c r="J69" s="6">
        <f t="shared" si="2"/>
        <v>0</v>
      </c>
      <c r="K69" s="6">
        <f t="shared" si="6"/>
        <v>3864012</v>
      </c>
      <c r="L69" s="6"/>
      <c r="M69" s="6">
        <f t="shared" si="3"/>
        <v>0</v>
      </c>
    </row>
    <row r="70" spans="1:13" ht="12.75">
      <c r="A70" s="5" t="s">
        <v>27</v>
      </c>
      <c r="B70" s="6"/>
      <c r="C70" s="6"/>
      <c r="D70" s="6"/>
      <c r="E70" s="6">
        <f t="shared" si="4"/>
        <v>5559762</v>
      </c>
      <c r="F70" s="6"/>
      <c r="G70" s="6">
        <f t="shared" si="1"/>
        <v>0</v>
      </c>
      <c r="H70" s="6">
        <f t="shared" si="5"/>
        <v>4603512</v>
      </c>
      <c r="I70" s="6"/>
      <c r="J70" s="6">
        <f t="shared" si="2"/>
        <v>0</v>
      </c>
      <c r="K70" s="6">
        <f t="shared" si="6"/>
        <v>4004262</v>
      </c>
      <c r="L70" s="6"/>
      <c r="M70" s="6">
        <f t="shared" si="3"/>
        <v>0</v>
      </c>
    </row>
    <row r="71" spans="1:13" ht="12.75">
      <c r="A71" s="5" t="s">
        <v>28</v>
      </c>
      <c r="E71" s="6">
        <f t="shared" si="4"/>
        <v>5559762</v>
      </c>
      <c r="G71" s="6">
        <f t="shared" si="1"/>
        <v>0</v>
      </c>
      <c r="H71" s="6">
        <f t="shared" si="5"/>
        <v>4794762</v>
      </c>
      <c r="I71" s="6"/>
      <c r="J71" s="6">
        <f t="shared" si="2"/>
        <v>0</v>
      </c>
      <c r="K71" s="6">
        <f t="shared" si="6"/>
        <v>4201887</v>
      </c>
      <c r="L71" s="6"/>
      <c r="M71" s="6">
        <f t="shared" si="3"/>
        <v>0</v>
      </c>
    </row>
    <row r="72" spans="1:13" ht="12.75">
      <c r="A72" s="5" t="s">
        <v>29</v>
      </c>
      <c r="E72" s="6">
        <f t="shared" si="4"/>
        <v>5559762</v>
      </c>
      <c r="G72" s="6">
        <f t="shared" si="1"/>
        <v>0</v>
      </c>
      <c r="H72" s="6">
        <f t="shared" si="5"/>
        <v>5049762</v>
      </c>
      <c r="I72" s="6"/>
      <c r="J72" s="6">
        <f t="shared" si="2"/>
        <v>0</v>
      </c>
      <c r="K72" s="6">
        <f t="shared" si="6"/>
        <v>4603512</v>
      </c>
      <c r="L72" s="6"/>
      <c r="M72" s="6">
        <f t="shared" si="3"/>
        <v>0</v>
      </c>
    </row>
    <row r="73" spans="1:13" ht="12.75">
      <c r="A73" s="5" t="s">
        <v>30</v>
      </c>
      <c r="E73" s="6">
        <f t="shared" si="4"/>
        <v>6793080.55</v>
      </c>
      <c r="G73" s="6">
        <f t="shared" si="1"/>
        <v>0</v>
      </c>
      <c r="H73" s="6">
        <f t="shared" si="5"/>
        <v>5428093.855</v>
      </c>
      <c r="I73" s="6"/>
      <c r="J73" s="6">
        <f t="shared" si="2"/>
        <v>0</v>
      </c>
      <c r="K73" s="6">
        <f t="shared" si="6"/>
        <v>4794762</v>
      </c>
      <c r="L73" s="6"/>
      <c r="M73" s="6">
        <f t="shared" si="3"/>
        <v>0</v>
      </c>
    </row>
    <row r="74" spans="1:13" ht="12.75">
      <c r="A74" s="5" t="s">
        <v>31</v>
      </c>
      <c r="E74" s="6">
        <f t="shared" si="4"/>
        <v>6793080.55</v>
      </c>
      <c r="G74" s="6">
        <f t="shared" si="1"/>
        <v>0</v>
      </c>
      <c r="H74" s="6">
        <f t="shared" si="5"/>
        <v>5868091.6375</v>
      </c>
      <c r="I74" s="6"/>
      <c r="J74" s="6">
        <f t="shared" si="2"/>
        <v>0</v>
      </c>
      <c r="K74" s="6">
        <f t="shared" si="6"/>
        <v>5049762</v>
      </c>
      <c r="L74" s="6"/>
      <c r="M74" s="6">
        <f t="shared" si="3"/>
        <v>0</v>
      </c>
    </row>
    <row r="75" spans="1:13" ht="12.75">
      <c r="A75" s="5" t="s">
        <v>32</v>
      </c>
      <c r="E75" s="6">
        <f t="shared" si="4"/>
        <v>6793080.55</v>
      </c>
      <c r="G75" s="6">
        <f t="shared" si="1"/>
        <v>0</v>
      </c>
      <c r="H75" s="6">
        <f t="shared" si="5"/>
        <v>6053089.42</v>
      </c>
      <c r="I75" s="6"/>
      <c r="J75" s="6">
        <f t="shared" si="2"/>
        <v>0</v>
      </c>
      <c r="K75" s="6">
        <f t="shared" si="6"/>
        <v>5428093.855</v>
      </c>
      <c r="L75" s="6"/>
      <c r="M75" s="6">
        <f t="shared" si="3"/>
        <v>0</v>
      </c>
    </row>
    <row r="76" spans="1:13" ht="12.75">
      <c r="A76" s="5" t="s">
        <v>33</v>
      </c>
      <c r="E76" s="6">
        <f t="shared" si="4"/>
        <v>6793080.55</v>
      </c>
      <c r="G76" s="6">
        <f t="shared" si="1"/>
        <v>0</v>
      </c>
      <c r="H76" s="6">
        <f t="shared" si="5"/>
        <v>6176421.275</v>
      </c>
      <c r="I76" s="6"/>
      <c r="J76" s="6">
        <f t="shared" si="2"/>
        <v>0</v>
      </c>
      <c r="K76" s="6">
        <f t="shared" si="6"/>
        <v>5868091.6375</v>
      </c>
      <c r="L76" s="6"/>
      <c r="M76" s="6">
        <f t="shared" si="3"/>
        <v>0</v>
      </c>
    </row>
    <row r="77" spans="1:13" ht="12.75">
      <c r="A77" s="5" t="s">
        <v>34</v>
      </c>
      <c r="E77" s="6">
        <f t="shared" si="4"/>
        <v>7358789.55</v>
      </c>
      <c r="G77" s="6">
        <f t="shared" si="1"/>
        <v>0</v>
      </c>
      <c r="H77" s="6">
        <f t="shared" si="5"/>
        <v>6417989.9575000005</v>
      </c>
      <c r="I77" s="6"/>
      <c r="J77" s="6">
        <f t="shared" si="2"/>
        <v>0</v>
      </c>
      <c r="K77" s="6">
        <f t="shared" si="6"/>
        <v>6053089.42</v>
      </c>
      <c r="L77" s="6"/>
      <c r="M77" s="6">
        <f t="shared" si="3"/>
        <v>0</v>
      </c>
    </row>
    <row r="78" spans="1:13" ht="12.75">
      <c r="A78" s="5" t="s">
        <v>35</v>
      </c>
      <c r="E78" s="6">
        <f t="shared" si="4"/>
        <v>7358789.55</v>
      </c>
      <c r="G78" s="6">
        <f t="shared" si="1"/>
        <v>0</v>
      </c>
      <c r="H78" s="6">
        <f t="shared" si="5"/>
        <v>6536226.785</v>
      </c>
      <c r="I78" s="6"/>
      <c r="J78" s="6">
        <f t="shared" si="2"/>
        <v>0</v>
      </c>
      <c r="K78" s="6">
        <f t="shared" si="6"/>
        <v>6176421.275</v>
      </c>
      <c r="L78" s="6"/>
      <c r="M78" s="6">
        <f t="shared" si="3"/>
        <v>0</v>
      </c>
    </row>
    <row r="79" spans="1:13" ht="12.75">
      <c r="A79" s="5" t="s">
        <v>36</v>
      </c>
      <c r="E79" s="6">
        <f t="shared" si="4"/>
        <v>7358789.55</v>
      </c>
      <c r="G79" s="6">
        <f t="shared" si="1"/>
        <v>0</v>
      </c>
      <c r="H79" s="6">
        <f t="shared" si="5"/>
        <v>6716129.54</v>
      </c>
      <c r="I79" s="6"/>
      <c r="J79" s="6">
        <f t="shared" si="2"/>
        <v>0</v>
      </c>
      <c r="K79" s="6">
        <f t="shared" si="6"/>
        <v>6417989.9575000005</v>
      </c>
      <c r="L79" s="6"/>
      <c r="M79" s="6">
        <f t="shared" si="3"/>
        <v>0</v>
      </c>
    </row>
    <row r="80" spans="1:13" ht="12.75">
      <c r="A80" s="5" t="s">
        <v>37</v>
      </c>
      <c r="E80" s="6">
        <f t="shared" si="4"/>
        <v>7358789.55</v>
      </c>
      <c r="G80" s="6">
        <f t="shared" si="1"/>
        <v>0</v>
      </c>
      <c r="H80" s="6">
        <f t="shared" si="5"/>
        <v>6862651.8175</v>
      </c>
      <c r="I80" s="6"/>
      <c r="J80" s="6">
        <f t="shared" si="2"/>
        <v>0</v>
      </c>
      <c r="K80" s="6">
        <f t="shared" si="6"/>
        <v>6536226.785</v>
      </c>
      <c r="L80" s="6"/>
      <c r="M80" s="6">
        <f t="shared" si="3"/>
        <v>0</v>
      </c>
    </row>
    <row r="81" spans="1:13" ht="12.75">
      <c r="A81" s="5" t="s">
        <v>38</v>
      </c>
      <c r="E81" s="6">
        <f t="shared" si="4"/>
        <v>7358789.55</v>
      </c>
      <c r="G81" s="6">
        <f t="shared" si="1"/>
        <v>0</v>
      </c>
      <c r="H81" s="6">
        <f t="shared" si="5"/>
        <v>7132505.95</v>
      </c>
      <c r="I81" s="6"/>
      <c r="J81" s="6">
        <f t="shared" si="2"/>
        <v>0</v>
      </c>
      <c r="K81" s="6">
        <f t="shared" si="6"/>
        <v>6716129.54</v>
      </c>
      <c r="L81" s="6"/>
      <c r="M81" s="6">
        <f t="shared" si="3"/>
        <v>0</v>
      </c>
    </row>
    <row r="82" spans="1:13" ht="12.75">
      <c r="A82" s="5" t="s">
        <v>39</v>
      </c>
      <c r="E82" s="6">
        <f t="shared" si="4"/>
        <v>7358789.55</v>
      </c>
      <c r="G82" s="6">
        <f t="shared" si="1"/>
        <v>0</v>
      </c>
      <c r="H82" s="6">
        <f t="shared" si="5"/>
        <v>7245647.75</v>
      </c>
      <c r="I82" s="6"/>
      <c r="J82" s="6">
        <f t="shared" si="2"/>
        <v>0</v>
      </c>
      <c r="K82" s="6">
        <f t="shared" si="6"/>
        <v>6862651.8175</v>
      </c>
      <c r="L82" s="6"/>
      <c r="M82" s="6">
        <f t="shared" si="3"/>
        <v>0</v>
      </c>
    </row>
    <row r="83" spans="1:13" ht="12.75">
      <c r="A83" s="5" t="s">
        <v>40</v>
      </c>
      <c r="E83" s="6">
        <f t="shared" si="4"/>
        <v>7358789.55</v>
      </c>
      <c r="G83" s="6">
        <f t="shared" si="1"/>
        <v>0</v>
      </c>
      <c r="H83" s="6">
        <f t="shared" si="5"/>
        <v>7358789.55</v>
      </c>
      <c r="I83" s="6"/>
      <c r="J83" s="6">
        <f t="shared" si="2"/>
        <v>0</v>
      </c>
      <c r="K83" s="6">
        <f t="shared" si="6"/>
        <v>7132505.95</v>
      </c>
      <c r="L83" s="6"/>
      <c r="M83" s="6">
        <f t="shared" si="3"/>
        <v>0</v>
      </c>
    </row>
    <row r="84" spans="1:13" ht="12.75">
      <c r="A84" s="5" t="s">
        <v>41</v>
      </c>
      <c r="E84" s="6">
        <f t="shared" si="4"/>
        <v>7358789.55</v>
      </c>
      <c r="G84" s="6">
        <f t="shared" si="1"/>
        <v>0</v>
      </c>
      <c r="H84" s="6">
        <f t="shared" si="5"/>
        <v>7358789.55</v>
      </c>
      <c r="I84" s="6"/>
      <c r="J84" s="6">
        <f t="shared" si="2"/>
        <v>0</v>
      </c>
      <c r="K84" s="6">
        <f t="shared" si="6"/>
        <v>7245647.75</v>
      </c>
      <c r="L84" s="6"/>
      <c r="M84" s="6">
        <f t="shared" si="3"/>
        <v>0</v>
      </c>
    </row>
    <row r="85" spans="1:13" ht="12.75">
      <c r="A85" s="5" t="s">
        <v>42</v>
      </c>
      <c r="E85" s="6">
        <f t="shared" si="4"/>
        <v>7358789.55</v>
      </c>
      <c r="G85" s="6">
        <f t="shared" si="1"/>
        <v>0</v>
      </c>
      <c r="H85" s="6">
        <f t="shared" si="5"/>
        <v>7358789.55</v>
      </c>
      <c r="I85" s="6"/>
      <c r="J85" s="6">
        <f t="shared" si="2"/>
        <v>0</v>
      </c>
      <c r="K85" s="6">
        <f t="shared" si="6"/>
        <v>7358789.55</v>
      </c>
      <c r="L85" s="6"/>
      <c r="M85" s="6">
        <f t="shared" si="3"/>
        <v>0</v>
      </c>
    </row>
    <row r="86" spans="1:13" ht="12.75">
      <c r="A86" s="5" t="s">
        <v>43</v>
      </c>
      <c r="E86" s="6">
        <f t="shared" si="4"/>
        <v>7358789.55</v>
      </c>
      <c r="G86" s="6">
        <f t="shared" si="1"/>
        <v>0</v>
      </c>
      <c r="H86" s="6">
        <f t="shared" si="5"/>
        <v>7358789.55</v>
      </c>
      <c r="I86" s="6"/>
      <c r="J86" s="6">
        <f t="shared" si="2"/>
        <v>0</v>
      </c>
      <c r="K86" s="6">
        <f t="shared" si="6"/>
        <v>7358789.55</v>
      </c>
      <c r="L86" s="6"/>
      <c r="M86" s="6">
        <f t="shared" si="3"/>
        <v>0</v>
      </c>
    </row>
    <row r="87" spans="7:11" ht="12.75">
      <c r="G87" s="6"/>
      <c r="K87" s="6"/>
    </row>
    <row r="88" ht="12.75">
      <c r="K88" s="117"/>
    </row>
    <row r="89" ht="12.75">
      <c r="K89" s="113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O58"/>
  <sheetViews>
    <sheetView view="pageBreakPreview" zoomScaleNormal="85" zoomScaleSheetLayoutView="100" workbookViewId="0" topLeftCell="A28">
      <selection activeCell="H17" sqref="H17"/>
    </sheetView>
  </sheetViews>
  <sheetFormatPr defaultColWidth="9.140625" defaultRowHeight="12.75"/>
  <cols>
    <col min="1" max="1" width="20.28125" style="0" customWidth="1"/>
    <col min="2" max="2" width="13.00390625" style="0" bestFit="1" customWidth="1"/>
    <col min="3" max="3" width="15.421875" style="0" customWidth="1"/>
    <col min="4" max="4" width="15.00390625" style="0" customWidth="1"/>
    <col min="5" max="5" width="15.28125" style="0" customWidth="1"/>
    <col min="6" max="6" width="13.7109375" style="0" customWidth="1"/>
    <col min="7" max="7" width="11.421875" style="0" bestFit="1" customWidth="1"/>
    <col min="8" max="8" width="11.57421875" style="0" customWidth="1"/>
    <col min="9" max="9" width="12.8515625" style="0" customWidth="1"/>
    <col min="10" max="10" width="13.421875" style="0" customWidth="1"/>
    <col min="11" max="12" width="13.28125" style="0" customWidth="1"/>
    <col min="13" max="13" width="13.00390625" style="0" bestFit="1" customWidth="1"/>
    <col min="14" max="14" width="15.140625" style="0" customWidth="1"/>
    <col min="15" max="15" width="13.421875" style="0" bestFit="1" customWidth="1"/>
  </cols>
  <sheetData>
    <row r="2" spans="1:15" ht="54" customHeight="1">
      <c r="A2" s="162" t="s">
        <v>167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75"/>
      <c r="O2" s="76"/>
    </row>
    <row r="3" ht="15.75">
      <c r="A3" s="25"/>
    </row>
    <row r="4" spans="1:12" ht="15.75">
      <c r="A4" s="25" t="s">
        <v>166</v>
      </c>
      <c r="G4" s="25" t="s">
        <v>114</v>
      </c>
      <c r="K4" s="25"/>
      <c r="L4" s="25"/>
    </row>
    <row r="5" spans="1:12" ht="15.75">
      <c r="A5" t="s">
        <v>172</v>
      </c>
      <c r="B5" s="26">
        <f>H10</f>
        <v>422025</v>
      </c>
      <c r="J5" s="25"/>
      <c r="K5" s="25"/>
      <c r="L5" s="25"/>
    </row>
    <row r="6" spans="1:2" ht="12.75">
      <c r="A6" t="s">
        <v>160</v>
      </c>
      <c r="B6" s="26">
        <f>'Priority Axis 2'!J10</f>
        <v>676151.2100000001</v>
      </c>
    </row>
    <row r="7" spans="1:12" ht="12.75">
      <c r="A7" s="137" t="s">
        <v>0</v>
      </c>
      <c r="B7" s="138"/>
      <c r="C7" s="138"/>
      <c r="D7" s="71"/>
      <c r="E7" s="70"/>
      <c r="F7" s="70"/>
      <c r="G7" s="92" t="s">
        <v>55</v>
      </c>
      <c r="H7" s="92"/>
      <c r="I7" s="92"/>
      <c r="J7" s="107"/>
      <c r="K7" s="125"/>
      <c r="L7" s="16"/>
    </row>
    <row r="8" spans="1:12" ht="82.5" customHeight="1">
      <c r="A8" s="86" t="s">
        <v>1</v>
      </c>
      <c r="B8" s="85" t="s">
        <v>127</v>
      </c>
      <c r="C8" s="85" t="s">
        <v>128</v>
      </c>
      <c r="D8" s="85" t="s">
        <v>162</v>
      </c>
      <c r="E8" s="16"/>
      <c r="F8" s="16"/>
      <c r="G8" s="92"/>
      <c r="H8" s="93" t="s">
        <v>56</v>
      </c>
      <c r="I8" s="93" t="s">
        <v>149</v>
      </c>
      <c r="J8" s="93" t="s">
        <v>45</v>
      </c>
      <c r="K8" s="12"/>
      <c r="L8" s="126"/>
    </row>
    <row r="9" spans="1:12" ht="15.75">
      <c r="A9" s="21"/>
      <c r="B9" s="22"/>
      <c r="C9" s="27"/>
      <c r="D9" s="30"/>
      <c r="E9" s="16"/>
      <c r="F9" s="16"/>
      <c r="G9" s="106" t="s">
        <v>104</v>
      </c>
      <c r="H9" s="107">
        <v>7358790</v>
      </c>
      <c r="I9" s="108">
        <f>H9/$H$12</f>
        <v>0.5396111239648322</v>
      </c>
      <c r="J9" s="107">
        <f>I9*$B$6</f>
        <v>364858.71439828136</v>
      </c>
      <c r="K9" s="121"/>
      <c r="L9" s="126"/>
    </row>
    <row r="10" spans="1:12" ht="12.75">
      <c r="A10" s="2">
        <v>2007</v>
      </c>
      <c r="B10" s="23">
        <v>3512400</v>
      </c>
      <c r="C10" s="28">
        <f aca="true" t="shared" si="0" ref="C10:C16">B10/$B$17</f>
        <v>0.07272574730188078</v>
      </c>
      <c r="D10" s="9">
        <f aca="true" t="shared" si="1" ref="D10:D16">C10*$B$5</f>
        <v>30692.083505076236</v>
      </c>
      <c r="E10" s="16"/>
      <c r="F10" s="16"/>
      <c r="G10" s="109" t="s">
        <v>105</v>
      </c>
      <c r="H10" s="100">
        <v>422025</v>
      </c>
      <c r="I10" s="101">
        <f>H10/$H$12</f>
        <v>0.030946580156691293</v>
      </c>
      <c r="J10" s="102">
        <f>I10*$B$6</f>
        <v>20924.56761830881</v>
      </c>
      <c r="K10" s="112"/>
      <c r="L10" s="126"/>
    </row>
    <row r="11" spans="1:12" ht="12.75">
      <c r="A11" s="2">
        <v>2008</v>
      </c>
      <c r="B11" s="23">
        <v>5141700</v>
      </c>
      <c r="C11" s="28">
        <f t="shared" si="0"/>
        <v>0.10646110206755506</v>
      </c>
      <c r="D11" s="9">
        <f t="shared" si="1"/>
        <v>44929.24660005992</v>
      </c>
      <c r="E11" s="16"/>
      <c r="F11" s="16"/>
      <c r="G11" s="109" t="s">
        <v>106</v>
      </c>
      <c r="H11" s="110">
        <v>5856394.6</v>
      </c>
      <c r="I11" s="111">
        <f>H11/$H$12</f>
        <v>0.4294422958784765</v>
      </c>
      <c r="J11" s="102">
        <f>I11*$B$6</f>
        <v>290367.9279834099</v>
      </c>
      <c r="K11" s="112"/>
      <c r="L11" s="126"/>
    </row>
    <row r="12" spans="1:12" ht="12.75">
      <c r="A12" s="2">
        <v>2009</v>
      </c>
      <c r="B12" s="23">
        <v>7001019</v>
      </c>
      <c r="C12" s="28">
        <f t="shared" si="0"/>
        <v>0.1449590988069884</v>
      </c>
      <c r="D12" s="9">
        <f t="shared" si="1"/>
        <v>61176.36367401928</v>
      </c>
      <c r="E12" s="16"/>
      <c r="F12" s="16"/>
      <c r="G12" s="92" t="s">
        <v>46</v>
      </c>
      <c r="H12" s="100">
        <f>SUM(H9:H11)</f>
        <v>13637209.6</v>
      </c>
      <c r="I12" s="92"/>
      <c r="J12" s="102">
        <f>SUM(J9:J11)</f>
        <v>676151.2100000001</v>
      </c>
      <c r="K12" s="112"/>
      <c r="L12" s="126"/>
    </row>
    <row r="13" spans="1:12" ht="12.75">
      <c r="A13" s="2">
        <v>2010</v>
      </c>
      <c r="B13" s="23">
        <v>7377256</v>
      </c>
      <c r="C13" s="28">
        <f t="shared" si="0"/>
        <v>0.1527492471350882</v>
      </c>
      <c r="D13" s="9">
        <f t="shared" si="1"/>
        <v>64464.0010221856</v>
      </c>
      <c r="E13" s="16"/>
      <c r="F13" s="16"/>
      <c r="G13" s="16"/>
      <c r="H13" s="26"/>
      <c r="I13" s="26"/>
      <c r="J13" s="16"/>
      <c r="K13" s="112"/>
      <c r="L13" s="112"/>
    </row>
    <row r="14" spans="1:6" ht="12.75">
      <c r="A14" s="2">
        <v>2011</v>
      </c>
      <c r="B14" s="23">
        <v>7898065</v>
      </c>
      <c r="C14" s="28">
        <f t="shared" si="0"/>
        <v>0.16353282068210598</v>
      </c>
      <c r="D14" s="9">
        <f t="shared" si="1"/>
        <v>69014.93864836577</v>
      </c>
      <c r="E14" s="16"/>
      <c r="F14" s="16"/>
    </row>
    <row r="15" spans="1:6" ht="12.75">
      <c r="A15" s="2">
        <v>2012</v>
      </c>
      <c r="B15" s="23">
        <v>8421780</v>
      </c>
      <c r="C15" s="28">
        <f t="shared" si="0"/>
        <v>0.17437656420454206</v>
      </c>
      <c r="D15" s="9">
        <f t="shared" si="1"/>
        <v>73591.26950842186</v>
      </c>
      <c r="E15" s="16"/>
      <c r="F15" s="16"/>
    </row>
    <row r="16" spans="1:6" ht="12.75">
      <c r="A16" s="2">
        <v>2013</v>
      </c>
      <c r="B16" s="23">
        <v>8944293</v>
      </c>
      <c r="C16" s="28">
        <f t="shared" si="0"/>
        <v>0.1851954198018395</v>
      </c>
      <c r="D16" s="9">
        <f t="shared" si="1"/>
        <v>78157.09704187133</v>
      </c>
      <c r="E16" s="16"/>
      <c r="F16" s="16"/>
    </row>
    <row r="17" spans="1:6" ht="12.75">
      <c r="A17" s="3" t="s">
        <v>3</v>
      </c>
      <c r="B17" s="24">
        <f>SUM(B10:B16)</f>
        <v>48296513</v>
      </c>
      <c r="C17" s="29"/>
      <c r="D17" s="10">
        <f>SUM(D10:D16)</f>
        <v>422025.00000000006</v>
      </c>
      <c r="E17" s="16"/>
      <c r="F17" s="16"/>
    </row>
    <row r="20" ht="15.75">
      <c r="A20" s="25" t="s">
        <v>175</v>
      </c>
    </row>
    <row r="21" spans="1:13" ht="51">
      <c r="A21" s="77" t="s">
        <v>4</v>
      </c>
      <c r="B21" s="78" t="s">
        <v>5</v>
      </c>
      <c r="C21" s="78" t="s">
        <v>6</v>
      </c>
      <c r="D21" s="78" t="s">
        <v>7</v>
      </c>
      <c r="E21" s="119" t="s">
        <v>182</v>
      </c>
      <c r="F21" s="119" t="s">
        <v>139</v>
      </c>
      <c r="G21" s="119" t="s">
        <v>138</v>
      </c>
      <c r="H21" s="119" t="s">
        <v>141</v>
      </c>
      <c r="I21" s="119" t="s">
        <v>142</v>
      </c>
      <c r="J21" s="119" t="s">
        <v>147</v>
      </c>
      <c r="K21" s="119" t="s">
        <v>183</v>
      </c>
      <c r="L21" s="119" t="s">
        <v>146</v>
      </c>
      <c r="M21" s="119" t="s">
        <v>144</v>
      </c>
    </row>
    <row r="22" spans="1:13" ht="12.75">
      <c r="A22" s="71"/>
      <c r="B22" s="79"/>
      <c r="C22" s="79"/>
      <c r="D22" s="79"/>
      <c r="E22" s="80"/>
      <c r="F22" s="80"/>
      <c r="G22" s="81"/>
      <c r="H22" s="81"/>
      <c r="I22" s="81"/>
      <c r="J22" s="81"/>
      <c r="K22" s="81"/>
      <c r="L22" s="81"/>
      <c r="M22" s="81"/>
    </row>
    <row r="23" spans="1:13" ht="12.75">
      <c r="A23" s="82" t="s">
        <v>8</v>
      </c>
      <c r="B23" s="83">
        <v>0</v>
      </c>
      <c r="C23" s="83">
        <v>0</v>
      </c>
      <c r="D23" s="83">
        <v>0</v>
      </c>
      <c r="E23" s="80">
        <v>0</v>
      </c>
      <c r="F23" s="80"/>
      <c r="G23" s="81">
        <f>'[1]Call AA'!E51</f>
        <v>0</v>
      </c>
      <c r="H23" s="81">
        <v>0</v>
      </c>
      <c r="I23" s="81"/>
      <c r="J23" s="81">
        <f>'[1]Call AA'!F51</f>
        <v>0</v>
      </c>
      <c r="K23" s="81">
        <v>0</v>
      </c>
      <c r="L23" s="81"/>
      <c r="M23" s="81">
        <f>'[1]Call AA'!G51</f>
        <v>0</v>
      </c>
    </row>
    <row r="24" spans="1:13" ht="12.75">
      <c r="A24" s="82" t="s">
        <v>9</v>
      </c>
      <c r="B24" s="83">
        <v>0</v>
      </c>
      <c r="C24" s="83">
        <v>0</v>
      </c>
      <c r="D24" s="83">
        <v>0</v>
      </c>
      <c r="E24" s="80">
        <v>0</v>
      </c>
      <c r="F24" s="80"/>
      <c r="G24" s="81">
        <f>'[1]Call AA'!E52</f>
        <v>0</v>
      </c>
      <c r="H24" s="81">
        <v>0</v>
      </c>
      <c r="I24" s="81"/>
      <c r="J24" s="81">
        <f>'[1]Call AA'!F52</f>
        <v>0</v>
      </c>
      <c r="K24" s="81">
        <v>0</v>
      </c>
      <c r="L24" s="81"/>
      <c r="M24" s="81">
        <f>'[1]Call AA'!G52</f>
        <v>0</v>
      </c>
    </row>
    <row r="25" spans="1:13" ht="12.75">
      <c r="A25" s="82" t="s">
        <v>10</v>
      </c>
      <c r="B25" s="83">
        <v>0</v>
      </c>
      <c r="C25" s="83">
        <v>0</v>
      </c>
      <c r="D25" s="83">
        <v>0</v>
      </c>
      <c r="E25" s="80">
        <v>0</v>
      </c>
      <c r="F25" s="80"/>
      <c r="G25" s="81">
        <f>'[1]Call AA'!E53</f>
        <v>0</v>
      </c>
      <c r="H25" s="81">
        <v>0</v>
      </c>
      <c r="I25" s="81"/>
      <c r="J25" s="81">
        <f>'[1]Call AA'!F53</f>
        <v>0</v>
      </c>
      <c r="K25" s="81">
        <v>0</v>
      </c>
      <c r="L25" s="81"/>
      <c r="M25" s="81">
        <f>'[1]Call AA'!G53</f>
        <v>0</v>
      </c>
    </row>
    <row r="26" spans="1:13" ht="12.75">
      <c r="A26" s="82" t="s">
        <v>11</v>
      </c>
      <c r="B26" s="83">
        <f>D10</f>
        <v>30692.083505076236</v>
      </c>
      <c r="C26" s="83">
        <v>0</v>
      </c>
      <c r="D26" s="83">
        <v>0</v>
      </c>
      <c r="E26" s="80">
        <v>0</v>
      </c>
      <c r="F26" s="80"/>
      <c r="G26" s="81">
        <f>'[1]Call AA'!E54</f>
        <v>0</v>
      </c>
      <c r="H26" s="81">
        <v>0</v>
      </c>
      <c r="I26" s="81"/>
      <c r="J26" s="81">
        <f>'[1]Call AA'!F54</f>
        <v>0</v>
      </c>
      <c r="K26" s="81">
        <v>0</v>
      </c>
      <c r="L26" s="81"/>
      <c r="M26" s="81">
        <f>'[1]Call AA'!G54</f>
        <v>0</v>
      </c>
    </row>
    <row r="27" spans="1:13" ht="12.75">
      <c r="A27" s="82" t="s">
        <v>12</v>
      </c>
      <c r="B27" s="83">
        <f>B26+D11</f>
        <v>75621.33010513616</v>
      </c>
      <c r="C27" s="83">
        <v>0</v>
      </c>
      <c r="D27" s="83">
        <v>0</v>
      </c>
      <c r="E27" s="84">
        <f>'Call 3.2'!E55</f>
        <v>93960.10900742907</v>
      </c>
      <c r="F27" s="84"/>
      <c r="G27" s="84"/>
      <c r="H27" s="81">
        <v>0</v>
      </c>
      <c r="I27" s="81"/>
      <c r="J27" s="81"/>
      <c r="K27" s="81">
        <v>0</v>
      </c>
      <c r="L27" s="81"/>
      <c r="M27" s="81">
        <v>0</v>
      </c>
    </row>
    <row r="28" spans="1:13" ht="12.75">
      <c r="A28" s="82" t="s">
        <v>13</v>
      </c>
      <c r="B28" s="83">
        <f>B27</f>
        <v>75621.33010513616</v>
      </c>
      <c r="C28" s="83">
        <v>0</v>
      </c>
      <c r="D28" s="83">
        <v>0</v>
      </c>
      <c r="E28" s="84">
        <f>'Call 3.2'!E56</f>
        <v>93960.10900742907</v>
      </c>
      <c r="F28" s="84"/>
      <c r="G28" s="84"/>
      <c r="H28" s="81">
        <f>'Call 3.2'!H56</f>
        <v>0</v>
      </c>
      <c r="I28" s="81"/>
      <c r="J28" s="81"/>
      <c r="K28" s="81">
        <f>'Call 3.2'!K56</f>
        <v>0</v>
      </c>
      <c r="L28" s="81"/>
      <c r="M28" s="81">
        <f>'Call 3.2'!M56</f>
        <v>0</v>
      </c>
    </row>
    <row r="29" spans="1:13" ht="12.75">
      <c r="A29" s="82" t="s">
        <v>14</v>
      </c>
      <c r="B29" s="83">
        <f>B28</f>
        <v>75621.33010513616</v>
      </c>
      <c r="C29" s="83">
        <v>0</v>
      </c>
      <c r="D29" s="83">
        <v>0</v>
      </c>
      <c r="E29" s="84">
        <f>'Call 3.2'!E57</f>
        <v>223960.10900742907</v>
      </c>
      <c r="F29" s="84"/>
      <c r="G29" s="84"/>
      <c r="H29" s="81">
        <f>'Call 3.2'!H57</f>
        <v>0</v>
      </c>
      <c r="I29" s="81"/>
      <c r="J29" s="81"/>
      <c r="K29" s="81">
        <f>'Call 3.2'!K57</f>
        <v>0</v>
      </c>
      <c r="L29" s="81"/>
      <c r="M29" s="81">
        <f>'Call 3.2'!M57</f>
        <v>0</v>
      </c>
    </row>
    <row r="30" spans="1:13" ht="12.75">
      <c r="A30" s="82" t="s">
        <v>15</v>
      </c>
      <c r="B30" s="83">
        <f>B29</f>
        <v>75621.33010513616</v>
      </c>
      <c r="C30" s="83">
        <v>0</v>
      </c>
      <c r="D30" s="83">
        <v>0</v>
      </c>
      <c r="E30" s="84">
        <f>'Call 3.2'!E58</f>
        <v>223960.10900742907</v>
      </c>
      <c r="F30" s="84"/>
      <c r="G30" s="84"/>
      <c r="H30" s="81">
        <f>'Call 3.2'!H58</f>
        <v>18792.021801485815</v>
      </c>
      <c r="I30" s="81"/>
      <c r="J30" s="81"/>
      <c r="K30" s="81">
        <f>'Call 3.2'!K58</f>
        <v>0</v>
      </c>
      <c r="L30" s="81"/>
      <c r="M30" s="81">
        <f>'Call 3.2'!M58</f>
        <v>0</v>
      </c>
    </row>
    <row r="31" spans="1:13" ht="12.75">
      <c r="A31" s="82" t="s">
        <v>16</v>
      </c>
      <c r="B31" s="83">
        <f>B30+D12</f>
        <v>136797.69377915544</v>
      </c>
      <c r="C31" s="83">
        <v>0</v>
      </c>
      <c r="D31" s="83">
        <v>0</v>
      </c>
      <c r="E31" s="84">
        <f>'Call 3.2'!E59</f>
        <v>223960.10900742907</v>
      </c>
      <c r="F31" s="84"/>
      <c r="G31" s="84"/>
      <c r="H31" s="81">
        <f>'Call 3.2'!H59</f>
        <v>46980.054503714535</v>
      </c>
      <c r="I31" s="81"/>
      <c r="J31" s="81"/>
      <c r="K31" s="81">
        <f>'Call 3.2'!K59</f>
        <v>0</v>
      </c>
      <c r="L31" s="81"/>
      <c r="M31" s="81">
        <f>'Call 3.2'!M59</f>
        <v>0</v>
      </c>
    </row>
    <row r="32" spans="1:13" ht="12.75">
      <c r="A32" s="82" t="s">
        <v>17</v>
      </c>
      <c r="B32" s="83">
        <f>B31</f>
        <v>136797.69377915544</v>
      </c>
      <c r="C32" s="83">
        <v>0</v>
      </c>
      <c r="D32" s="83">
        <v>0</v>
      </c>
      <c r="E32" s="84">
        <f>'Call 3.2'!E60</f>
        <v>223960.10900742907</v>
      </c>
      <c r="F32" s="84"/>
      <c r="G32" s="84"/>
      <c r="H32" s="81">
        <f>'Call 3.2'!H60</f>
        <v>101168.08720594326</v>
      </c>
      <c r="I32" s="81"/>
      <c r="J32" s="81"/>
      <c r="K32" s="81">
        <f>'Call 3.2'!K60</f>
        <v>18792.021801485815</v>
      </c>
      <c r="L32" s="81"/>
      <c r="M32" s="81">
        <f>'Call 3.2'!M60</f>
        <v>0</v>
      </c>
    </row>
    <row r="33" spans="1:13" ht="12.75">
      <c r="A33" s="82" t="s">
        <v>18</v>
      </c>
      <c r="B33" s="83">
        <f>B32</f>
        <v>136797.69377915544</v>
      </c>
      <c r="C33" s="83">
        <v>0</v>
      </c>
      <c r="D33" s="83">
        <v>0</v>
      </c>
      <c r="E33" s="84">
        <f>'Call 3.2'!E61</f>
        <v>223960.10900742907</v>
      </c>
      <c r="F33" s="84"/>
      <c r="G33" s="84"/>
      <c r="H33" s="81">
        <f>'Call 3.2'!H61</f>
        <v>140168.08720594324</v>
      </c>
      <c r="I33" s="81"/>
      <c r="J33" s="81"/>
      <c r="K33" s="81">
        <f>'Call 3.2'!K61</f>
        <v>46980.054503714535</v>
      </c>
      <c r="L33" s="81"/>
      <c r="M33" s="81">
        <f>'Call 3.2'!M61</f>
        <v>0</v>
      </c>
    </row>
    <row r="34" spans="1:13" ht="12.75">
      <c r="A34" s="82" t="s">
        <v>19</v>
      </c>
      <c r="B34" s="83">
        <f>B33</f>
        <v>136797.69377915544</v>
      </c>
      <c r="C34" s="83">
        <v>0</v>
      </c>
      <c r="D34" s="83">
        <v>0</v>
      </c>
      <c r="E34" s="84">
        <f>'Call 3.2'!E62</f>
        <v>300444.1090074291</v>
      </c>
      <c r="F34" s="84"/>
      <c r="G34" s="84"/>
      <c r="H34" s="81">
        <f>'Call 3.2'!H62</f>
        <v>179168.08720594324</v>
      </c>
      <c r="I34" s="81"/>
      <c r="J34" s="81"/>
      <c r="K34" s="81">
        <f>'Call 3.2'!K62</f>
        <v>101168.08720594326</v>
      </c>
      <c r="L34" s="81"/>
      <c r="M34" s="81">
        <f>'Call 3.2'!M62</f>
        <v>0</v>
      </c>
    </row>
    <row r="35" spans="1:13" ht="12.75">
      <c r="A35" s="82" t="s">
        <v>20</v>
      </c>
      <c r="B35" s="83">
        <f>B34+D13</f>
        <v>201261.69480134104</v>
      </c>
      <c r="C35" s="83">
        <v>0</v>
      </c>
      <c r="D35" s="83">
        <v>0</v>
      </c>
      <c r="E35" s="84">
        <f>'Call 3.2'!E63</f>
        <v>300444.1090074291</v>
      </c>
      <c r="F35" s="84"/>
      <c r="G35" s="84"/>
      <c r="H35" s="81">
        <f>'Call 3.2'!H63</f>
        <v>194464.88720594323</v>
      </c>
      <c r="I35" s="81"/>
      <c r="J35" s="81"/>
      <c r="K35" s="81">
        <f>'Call 3.2'!K63</f>
        <v>140168.08720594324</v>
      </c>
      <c r="L35" s="81"/>
      <c r="M35" s="81">
        <f>'Call 3.2'!M63</f>
        <v>0</v>
      </c>
    </row>
    <row r="36" spans="1:13" ht="12.75">
      <c r="A36" s="82" t="s">
        <v>21</v>
      </c>
      <c r="B36" s="83">
        <f>B35</f>
        <v>201261.69480134104</v>
      </c>
      <c r="C36" s="83">
        <v>0</v>
      </c>
      <c r="D36" s="83">
        <v>0</v>
      </c>
      <c r="E36" s="84">
        <f>'Call 3.2'!E64</f>
        <v>300444.1090074291</v>
      </c>
      <c r="F36" s="84"/>
      <c r="G36" s="84"/>
      <c r="H36" s="81">
        <f>'Call 3.2'!H64</f>
        <v>209761.68720594322</v>
      </c>
      <c r="I36" s="81"/>
      <c r="J36" s="81"/>
      <c r="K36" s="81">
        <f>'Call 3.2'!K64</f>
        <v>179168.08720594324</v>
      </c>
      <c r="L36" s="81"/>
      <c r="M36" s="81">
        <f>'Call 3.2'!M64</f>
        <v>0</v>
      </c>
    </row>
    <row r="37" spans="1:13" ht="12.75">
      <c r="A37" s="82" t="s">
        <v>22</v>
      </c>
      <c r="B37" s="83">
        <f>B36</f>
        <v>201261.69480134104</v>
      </c>
      <c r="C37" s="83">
        <v>0</v>
      </c>
      <c r="D37" s="83">
        <v>0</v>
      </c>
      <c r="E37" s="84">
        <f>'Call 3.2'!E65</f>
        <v>300444.1090074291</v>
      </c>
      <c r="F37" s="84"/>
      <c r="G37" s="84"/>
      <c r="H37" s="81">
        <f>'Call 3.2'!H65</f>
        <v>225058.4872059432</v>
      </c>
      <c r="I37" s="81"/>
      <c r="J37" s="81"/>
      <c r="K37" s="81">
        <f>'Call 3.2'!K65</f>
        <v>194464.88720594323</v>
      </c>
      <c r="L37" s="81"/>
      <c r="M37" s="81">
        <f>'Call 3.2'!M65</f>
        <v>0</v>
      </c>
    </row>
    <row r="38" spans="1:13" ht="12.75">
      <c r="A38" s="82" t="s">
        <v>23</v>
      </c>
      <c r="B38" s="83">
        <f>B37</f>
        <v>201261.69480134104</v>
      </c>
      <c r="C38" s="83">
        <f>B26</f>
        <v>30692.083505076236</v>
      </c>
      <c r="D38" s="83">
        <f>C38-$J$10</f>
        <v>9767.515886767425</v>
      </c>
      <c r="E38" s="84">
        <f>'Call 3.2'!E66</f>
        <v>300444.1090074291</v>
      </c>
      <c r="F38" s="84"/>
      <c r="G38" s="84"/>
      <c r="H38" s="81">
        <f>'Call 3.2'!H66</f>
        <v>240355.2872059432</v>
      </c>
      <c r="I38" s="81"/>
      <c r="J38" s="81"/>
      <c r="K38" s="81">
        <f>'Call 3.2'!K66</f>
        <v>209761.68720594322</v>
      </c>
      <c r="L38" s="81"/>
      <c r="M38" s="81">
        <f>'Call 3.2'!M66</f>
        <v>0</v>
      </c>
    </row>
    <row r="39" spans="1:13" ht="12.75">
      <c r="A39" s="82" t="s">
        <v>24</v>
      </c>
      <c r="B39" s="83">
        <f>B38+D14</f>
        <v>270276.63344970683</v>
      </c>
      <c r="C39" s="83">
        <f>C38</f>
        <v>30692.083505076236</v>
      </c>
      <c r="D39" s="83">
        <f aca="true" t="shared" si="2" ref="D39:D57">C39-$J$10</f>
        <v>9767.515886767425</v>
      </c>
      <c r="E39" s="84">
        <f>'Call 3.2'!E67</f>
        <v>357025.1090074291</v>
      </c>
      <c r="F39" s="84"/>
      <c r="G39" s="84"/>
      <c r="H39" s="81">
        <f>'Call 3.2'!H67</f>
        <v>281652.0872059432</v>
      </c>
      <c r="I39" s="81"/>
      <c r="J39" s="81"/>
      <c r="K39" s="81">
        <f>'Call 3.2'!K67</f>
        <v>225058.4872059432</v>
      </c>
      <c r="L39" s="81"/>
      <c r="M39" s="81">
        <f>'Call 3.2'!M67</f>
        <v>0</v>
      </c>
    </row>
    <row r="40" spans="1:13" ht="12.75">
      <c r="A40" s="82" t="s">
        <v>25</v>
      </c>
      <c r="B40" s="83">
        <f>B39</f>
        <v>270276.63344970683</v>
      </c>
      <c r="C40" s="83">
        <f>C39</f>
        <v>30692.083505076236</v>
      </c>
      <c r="D40" s="83">
        <f t="shared" si="2"/>
        <v>9767.515886767425</v>
      </c>
      <c r="E40" s="84">
        <f>'Call 3.2'!E68</f>
        <v>422025.1090074291</v>
      </c>
      <c r="F40" s="84"/>
      <c r="G40" s="84"/>
      <c r="H40" s="81">
        <f>'Call 3.2'!H68</f>
        <v>311760.309007429</v>
      </c>
      <c r="I40" s="81"/>
      <c r="J40" s="81"/>
      <c r="K40" s="81">
        <f>'Call 3.2'!K68</f>
        <v>240355.2872059432</v>
      </c>
      <c r="L40" s="81"/>
      <c r="M40" s="81">
        <f>'Call 3.2'!M68</f>
        <v>0</v>
      </c>
    </row>
    <row r="41" spans="1:13" ht="12.75">
      <c r="A41" s="82" t="s">
        <v>26</v>
      </c>
      <c r="B41" s="83">
        <f>B40</f>
        <v>270276.63344970683</v>
      </c>
      <c r="C41" s="83">
        <f>C40</f>
        <v>30692.083505076236</v>
      </c>
      <c r="D41" s="83">
        <f t="shared" si="2"/>
        <v>9767.515886767425</v>
      </c>
      <c r="E41" s="84">
        <f>'Call 3.2'!E69</f>
        <v>422025.1090074291</v>
      </c>
      <c r="F41" s="84"/>
      <c r="G41" s="84"/>
      <c r="H41" s="81">
        <f>'Call 3.2'!H69</f>
        <v>324760.309007429</v>
      </c>
      <c r="I41" s="81"/>
      <c r="J41" s="81"/>
      <c r="K41" s="81">
        <f>'Call 3.2'!K69</f>
        <v>281652.0872059432</v>
      </c>
      <c r="L41" s="81"/>
      <c r="M41" s="81">
        <f>'Call 3.2'!M69</f>
        <v>0</v>
      </c>
    </row>
    <row r="42" spans="1:13" ht="12.75">
      <c r="A42" s="82" t="s">
        <v>27</v>
      </c>
      <c r="B42" s="83">
        <f>B41</f>
        <v>270276.63344970683</v>
      </c>
      <c r="C42" s="83">
        <f>B27</f>
        <v>75621.33010513616</v>
      </c>
      <c r="D42" s="83">
        <f t="shared" si="2"/>
        <v>54696.762486827356</v>
      </c>
      <c r="E42" s="84">
        <f>'Call 3.2'!E70</f>
        <v>422025.1090074291</v>
      </c>
      <c r="F42" s="84"/>
      <c r="G42" s="84"/>
      <c r="H42" s="81">
        <f>'Call 3.2'!H70</f>
        <v>324760.309007429</v>
      </c>
      <c r="I42" s="81"/>
      <c r="J42" s="81"/>
      <c r="K42" s="81">
        <f>'Call 3.2'!K70</f>
        <v>311760.309007429</v>
      </c>
      <c r="L42" s="81"/>
      <c r="M42" s="81">
        <f>'Call 3.2'!M70</f>
        <v>0</v>
      </c>
    </row>
    <row r="43" spans="1:13" ht="12.75">
      <c r="A43" s="82" t="s">
        <v>28</v>
      </c>
      <c r="B43" s="83">
        <f>B42+D15</f>
        <v>343867.9029581287</v>
      </c>
      <c r="C43" s="83">
        <f>C42</f>
        <v>75621.33010513616</v>
      </c>
      <c r="D43" s="83">
        <f t="shared" si="2"/>
        <v>54696.762486827356</v>
      </c>
      <c r="E43" s="84">
        <f>'Call 3.2'!E71</f>
        <v>422025.1090074291</v>
      </c>
      <c r="F43" s="84"/>
      <c r="G43" s="84"/>
      <c r="H43" s="81">
        <f>'Call 3.2'!H71</f>
        <v>324760.309007429</v>
      </c>
      <c r="I43" s="81"/>
      <c r="J43" s="81"/>
      <c r="K43" s="81">
        <f>'Call 3.2'!K71</f>
        <v>324760.309007429</v>
      </c>
      <c r="L43" s="81"/>
      <c r="M43" s="81">
        <f>'Call 3.2'!M71</f>
        <v>0</v>
      </c>
    </row>
    <row r="44" spans="1:13" ht="12.75">
      <c r="A44" s="82" t="s">
        <v>29</v>
      </c>
      <c r="B44" s="83">
        <f>B43</f>
        <v>343867.9029581287</v>
      </c>
      <c r="C44" s="83">
        <f>C43</f>
        <v>75621.33010513616</v>
      </c>
      <c r="D44" s="83">
        <f t="shared" si="2"/>
        <v>54696.762486827356</v>
      </c>
      <c r="E44" s="84">
        <f>'Call 3.2'!E72</f>
        <v>422025.1090074291</v>
      </c>
      <c r="F44" s="84"/>
      <c r="G44" s="84"/>
      <c r="H44" s="81">
        <f>'Call 3.2'!H72</f>
        <v>355155.559007429</v>
      </c>
      <c r="I44" s="81"/>
      <c r="J44" s="81"/>
      <c r="K44" s="81">
        <f>'Call 3.2'!K72</f>
        <v>324760.309007429</v>
      </c>
      <c r="L44" s="81"/>
      <c r="M44" s="81">
        <f>'Call 3.2'!M72</f>
        <v>0</v>
      </c>
    </row>
    <row r="45" spans="1:13" ht="12.75">
      <c r="A45" s="82" t="s">
        <v>30</v>
      </c>
      <c r="B45" s="83">
        <f>B44</f>
        <v>343867.9029581287</v>
      </c>
      <c r="C45" s="83">
        <f>C44</f>
        <v>75621.33010513616</v>
      </c>
      <c r="D45" s="83">
        <f t="shared" si="2"/>
        <v>54696.762486827356</v>
      </c>
      <c r="E45" s="84">
        <f>'Call 3.2'!E73</f>
        <v>422025.1090074291</v>
      </c>
      <c r="F45" s="84"/>
      <c r="G45" s="84"/>
      <c r="H45" s="81">
        <f>'Call 3.2'!H73</f>
        <v>355155.559007429</v>
      </c>
      <c r="I45" s="81"/>
      <c r="J45" s="81"/>
      <c r="K45" s="81">
        <f>'Call 3.2'!K73</f>
        <v>324760.309007429</v>
      </c>
      <c r="L45" s="81"/>
      <c r="M45" s="81">
        <f>'Call 3.2'!M73</f>
        <v>0</v>
      </c>
    </row>
    <row r="46" spans="1:13" ht="12.75">
      <c r="A46" s="82" t="s">
        <v>31</v>
      </c>
      <c r="B46" s="83">
        <f>B45</f>
        <v>343867.9029581287</v>
      </c>
      <c r="C46" s="83">
        <f>B34</f>
        <v>136797.69377915544</v>
      </c>
      <c r="D46" s="83">
        <f t="shared" si="2"/>
        <v>115873.12616084663</v>
      </c>
      <c r="E46" s="84">
        <f>'Call 3.2'!E74</f>
        <v>422025.1090074291</v>
      </c>
      <c r="F46" s="84"/>
      <c r="G46" s="84"/>
      <c r="H46" s="81">
        <f>'Call 3.2'!H74</f>
        <v>355155.559007429</v>
      </c>
      <c r="I46" s="81"/>
      <c r="J46" s="81"/>
      <c r="K46" s="81">
        <f>'Call 3.2'!K74</f>
        <v>355155.559007429</v>
      </c>
      <c r="L46" s="81"/>
      <c r="M46" s="81">
        <f>'Call 3.2'!M74</f>
        <v>0</v>
      </c>
    </row>
    <row r="47" spans="1:13" ht="12.75">
      <c r="A47" s="82" t="s">
        <v>32</v>
      </c>
      <c r="B47" s="83">
        <f>B46+D16</f>
        <v>422025.00000000006</v>
      </c>
      <c r="C47" s="83">
        <f>C46</f>
        <v>136797.69377915544</v>
      </c>
      <c r="D47" s="83">
        <f t="shared" si="2"/>
        <v>115873.12616084663</v>
      </c>
      <c r="E47" s="84">
        <f>'Call 3.2'!E75</f>
        <v>422025.1090074291</v>
      </c>
      <c r="F47" s="84"/>
      <c r="G47" s="84"/>
      <c r="H47" s="81">
        <f>'Call 3.2'!H75</f>
        <v>355155.559007429</v>
      </c>
      <c r="I47" s="81"/>
      <c r="J47" s="81"/>
      <c r="K47" s="81">
        <f>'Call 3.2'!K75</f>
        <v>355155.559007429</v>
      </c>
      <c r="L47" s="81"/>
      <c r="M47" s="81">
        <f>'Call 3.2'!M75</f>
        <v>0</v>
      </c>
    </row>
    <row r="48" spans="1:13" ht="12.75">
      <c r="A48" s="82" t="s">
        <v>33</v>
      </c>
      <c r="B48" s="83">
        <f aca="true" t="shared" si="3" ref="B48:B58">$B$47</f>
        <v>422025.00000000006</v>
      </c>
      <c r="C48" s="83">
        <f>C47</f>
        <v>136797.69377915544</v>
      </c>
      <c r="D48" s="83">
        <f t="shared" si="2"/>
        <v>115873.12616084663</v>
      </c>
      <c r="E48" s="84">
        <f>'Call 3.2'!E76</f>
        <v>422025.1090074291</v>
      </c>
      <c r="F48" s="84"/>
      <c r="G48" s="84"/>
      <c r="H48" s="81">
        <f>'Call 3.2'!H76</f>
        <v>385550.809007429</v>
      </c>
      <c r="I48" s="81"/>
      <c r="J48" s="81"/>
      <c r="K48" s="81">
        <f>'Call 3.2'!K76</f>
        <v>355155.559007429</v>
      </c>
      <c r="L48" s="81"/>
      <c r="M48" s="81">
        <f>'Call 3.2'!M76</f>
        <v>0</v>
      </c>
    </row>
    <row r="49" spans="1:13" ht="12.75">
      <c r="A49" s="82" t="s">
        <v>34</v>
      </c>
      <c r="B49" s="83">
        <f t="shared" si="3"/>
        <v>422025.00000000006</v>
      </c>
      <c r="C49" s="83">
        <f>C48</f>
        <v>136797.69377915544</v>
      </c>
      <c r="D49" s="83">
        <f t="shared" si="2"/>
        <v>115873.12616084663</v>
      </c>
      <c r="E49" s="84">
        <f>'Call 3.2'!E77</f>
        <v>422025.1090074291</v>
      </c>
      <c r="F49" s="84"/>
      <c r="G49" s="84"/>
      <c r="H49" s="81">
        <f>'Call 3.2'!H77</f>
        <v>385550.809007429</v>
      </c>
      <c r="I49" s="81"/>
      <c r="J49" s="81"/>
      <c r="K49" s="81">
        <f>'Call 3.2'!K77</f>
        <v>355155.559007429</v>
      </c>
      <c r="L49" s="81"/>
      <c r="M49" s="81">
        <f>'Call 3.2'!M77</f>
        <v>0</v>
      </c>
    </row>
    <row r="50" spans="1:13" ht="12.75">
      <c r="A50" s="82" t="s">
        <v>35</v>
      </c>
      <c r="B50" s="83">
        <f t="shared" si="3"/>
        <v>422025.00000000006</v>
      </c>
      <c r="C50" s="83">
        <f>B35+D14</f>
        <v>270276.63344970683</v>
      </c>
      <c r="D50" s="83">
        <f t="shared" si="2"/>
        <v>249352.065831398</v>
      </c>
      <c r="E50" s="84">
        <f>'Call 3.2'!E78</f>
        <v>422025.1090074291</v>
      </c>
      <c r="F50" s="84"/>
      <c r="G50" s="84"/>
      <c r="H50" s="81">
        <f>'Call 3.2'!H78</f>
        <v>385550.809007429</v>
      </c>
      <c r="I50" s="81"/>
      <c r="J50" s="81"/>
      <c r="K50" s="81">
        <f>'Call 3.2'!K78</f>
        <v>385550.809007429</v>
      </c>
      <c r="L50" s="81"/>
      <c r="M50" s="81">
        <f>'Call 3.2'!M78</f>
        <v>0</v>
      </c>
    </row>
    <row r="51" spans="1:13" ht="12.75">
      <c r="A51" s="82" t="s">
        <v>36</v>
      </c>
      <c r="B51" s="83">
        <f t="shared" si="3"/>
        <v>422025.00000000006</v>
      </c>
      <c r="C51" s="83">
        <f>C50</f>
        <v>270276.63344970683</v>
      </c>
      <c r="D51" s="83">
        <f t="shared" si="2"/>
        <v>249352.065831398</v>
      </c>
      <c r="E51" s="84">
        <f>'Call 3.2'!E79</f>
        <v>422025.1090074291</v>
      </c>
      <c r="F51" s="84"/>
      <c r="G51" s="84"/>
      <c r="H51" s="81">
        <f>'Call 3.2'!H79</f>
        <v>385550.809007429</v>
      </c>
      <c r="I51" s="81"/>
      <c r="J51" s="81"/>
      <c r="K51" s="81">
        <f>'Call 3.2'!K79</f>
        <v>385550.809007429</v>
      </c>
      <c r="L51" s="81"/>
      <c r="M51" s="81">
        <f>'Call 3.2'!M79</f>
        <v>0</v>
      </c>
    </row>
    <row r="52" spans="1:13" ht="12.75">
      <c r="A52" s="82" t="s">
        <v>37</v>
      </c>
      <c r="B52" s="83">
        <f t="shared" si="3"/>
        <v>422025.00000000006</v>
      </c>
      <c r="C52" s="83">
        <f>C51</f>
        <v>270276.63344970683</v>
      </c>
      <c r="D52" s="83">
        <f t="shared" si="2"/>
        <v>249352.065831398</v>
      </c>
      <c r="E52" s="84">
        <f>'Call 3.2'!E80</f>
        <v>422025.1090074291</v>
      </c>
      <c r="F52" s="84"/>
      <c r="G52" s="84"/>
      <c r="H52" s="81">
        <f>'Call 3.2'!H80</f>
        <v>422025.109007429</v>
      </c>
      <c r="I52" s="81"/>
      <c r="J52" s="81"/>
      <c r="K52" s="81">
        <f>'Call 3.2'!K80</f>
        <v>385550.809007429</v>
      </c>
      <c r="L52" s="81"/>
      <c r="M52" s="81">
        <f>'Call 3.2'!M80</f>
        <v>0</v>
      </c>
    </row>
    <row r="53" spans="1:13" ht="12.75">
      <c r="A53" s="82" t="s">
        <v>38</v>
      </c>
      <c r="B53" s="83">
        <f t="shared" si="3"/>
        <v>422025.00000000006</v>
      </c>
      <c r="C53" s="83">
        <f>C52</f>
        <v>270276.63344970683</v>
      </c>
      <c r="D53" s="83">
        <f t="shared" si="2"/>
        <v>249352.065831398</v>
      </c>
      <c r="E53" s="84">
        <f>'Call 3.2'!E81</f>
        <v>422025.1090074291</v>
      </c>
      <c r="F53" s="84"/>
      <c r="G53" s="84"/>
      <c r="H53" s="81">
        <f>'Call 3.2'!H81</f>
        <v>422025.109007429</v>
      </c>
      <c r="I53" s="81"/>
      <c r="J53" s="81"/>
      <c r="K53" s="81">
        <f>'Call 3.2'!K81</f>
        <v>385550.809007429</v>
      </c>
      <c r="L53" s="81"/>
      <c r="M53" s="81">
        <f>'Call 3.2'!M81</f>
        <v>0</v>
      </c>
    </row>
    <row r="54" spans="1:13" ht="12.75">
      <c r="A54" s="82" t="s">
        <v>39</v>
      </c>
      <c r="B54" s="83">
        <f t="shared" si="3"/>
        <v>422025.00000000006</v>
      </c>
      <c r="C54" s="83">
        <f>B46</f>
        <v>343867.9029581287</v>
      </c>
      <c r="D54" s="83">
        <f t="shared" si="2"/>
        <v>322943.3353398199</v>
      </c>
      <c r="E54" s="84">
        <f>'Call 3.2'!E82</f>
        <v>422025.1090074291</v>
      </c>
      <c r="F54" s="84"/>
      <c r="G54" s="84"/>
      <c r="H54" s="81">
        <f>'Call 3.2'!H82</f>
        <v>422025.109007429</v>
      </c>
      <c r="I54" s="81"/>
      <c r="J54" s="81"/>
      <c r="K54" s="81">
        <f>'Call 3.2'!K82</f>
        <v>422025.109007429</v>
      </c>
      <c r="L54" s="81"/>
      <c r="M54" s="81">
        <f>'Call 3.2'!M82</f>
        <v>0</v>
      </c>
    </row>
    <row r="55" spans="1:13" ht="12.75">
      <c r="A55" s="82" t="s">
        <v>40</v>
      </c>
      <c r="B55" s="83">
        <f t="shared" si="3"/>
        <v>422025.00000000006</v>
      </c>
      <c r="C55" s="83">
        <f>C54</f>
        <v>343867.9029581287</v>
      </c>
      <c r="D55" s="83">
        <f t="shared" si="2"/>
        <v>322943.3353398199</v>
      </c>
      <c r="E55" s="84">
        <f>'Call 3.2'!E83</f>
        <v>422025.1090074291</v>
      </c>
      <c r="F55" s="84"/>
      <c r="G55" s="84"/>
      <c r="H55" s="81">
        <f>'Call 3.2'!H83</f>
        <v>422025.109007429</v>
      </c>
      <c r="I55" s="81"/>
      <c r="J55" s="81"/>
      <c r="K55" s="81">
        <f>'Call 3.2'!K83</f>
        <v>422025.109007429</v>
      </c>
      <c r="L55" s="81"/>
      <c r="M55" s="81">
        <f>'Call 3.2'!M83</f>
        <v>0</v>
      </c>
    </row>
    <row r="56" spans="1:13" ht="12.75">
      <c r="A56" s="82" t="s">
        <v>41</v>
      </c>
      <c r="B56" s="83">
        <f t="shared" si="3"/>
        <v>422025.00000000006</v>
      </c>
      <c r="C56" s="83">
        <f>C55</f>
        <v>343867.9029581287</v>
      </c>
      <c r="D56" s="83">
        <f t="shared" si="2"/>
        <v>322943.3353398199</v>
      </c>
      <c r="E56" s="84">
        <f>'Call 3.2'!E84</f>
        <v>422025.1090074291</v>
      </c>
      <c r="F56" s="84"/>
      <c r="G56" s="84"/>
      <c r="H56" s="81">
        <f>'Call 3.2'!H84</f>
        <v>422025.109007429</v>
      </c>
      <c r="I56" s="81"/>
      <c r="J56" s="81"/>
      <c r="K56" s="81">
        <f>'Call 3.2'!K84</f>
        <v>422025.109007429</v>
      </c>
      <c r="L56" s="81"/>
      <c r="M56" s="81">
        <f>'Call 3.2'!M84</f>
        <v>0</v>
      </c>
    </row>
    <row r="57" spans="1:13" ht="12.75">
      <c r="A57" s="82" t="s">
        <v>42</v>
      </c>
      <c r="B57" s="83">
        <f t="shared" si="3"/>
        <v>422025.00000000006</v>
      </c>
      <c r="C57" s="83">
        <f>C56</f>
        <v>343867.9029581287</v>
      </c>
      <c r="D57" s="83">
        <f t="shared" si="2"/>
        <v>322943.3353398199</v>
      </c>
      <c r="E57" s="84">
        <f>'Call 3.2'!E85</f>
        <v>422025.1090074291</v>
      </c>
      <c r="F57" s="84"/>
      <c r="G57" s="84"/>
      <c r="H57" s="81">
        <f>'Call 3.2'!H85</f>
        <v>422025.109007429</v>
      </c>
      <c r="I57" s="81"/>
      <c r="J57" s="81"/>
      <c r="K57" s="81">
        <f>'Call 3.2'!K85</f>
        <v>422025.109007429</v>
      </c>
      <c r="L57" s="81"/>
      <c r="M57" s="81">
        <f>'Call 3.2'!M85</f>
        <v>0</v>
      </c>
    </row>
    <row r="58" spans="1:13" ht="12.75">
      <c r="A58" s="82" t="s">
        <v>43</v>
      </c>
      <c r="B58" s="83">
        <f t="shared" si="3"/>
        <v>422025.00000000006</v>
      </c>
      <c r="C58" s="83">
        <f>B47</f>
        <v>422025.00000000006</v>
      </c>
      <c r="D58" s="83">
        <f>C58</f>
        <v>422025.00000000006</v>
      </c>
      <c r="E58" s="84">
        <f>'Call 3.2'!E86</f>
        <v>422025.1090074291</v>
      </c>
      <c r="F58" s="84"/>
      <c r="G58" s="84"/>
      <c r="H58" s="81">
        <f>'Call 3.2'!H86</f>
        <v>422025.109007429</v>
      </c>
      <c r="I58" s="81"/>
      <c r="J58" s="81"/>
      <c r="K58" s="81">
        <f>'Call 3.2'!K86</f>
        <v>422025.109007429</v>
      </c>
      <c r="L58" s="81"/>
      <c r="M58" s="81">
        <f>'Call 3.2'!M86</f>
        <v>0</v>
      </c>
    </row>
  </sheetData>
  <mergeCells count="2">
    <mergeCell ref="A7:C7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  <colBreaks count="1" manualBreakCount="1">
    <brk id="13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115" workbookViewId="0" topLeftCell="C27">
      <selection activeCell="H17" sqref="H1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customWidth="1"/>
    <col min="6" max="6" width="12.140625" style="0" customWidth="1"/>
    <col min="7" max="7" width="15.7109375" style="0" customWidth="1"/>
    <col min="8" max="9" width="12.57421875" style="0" customWidth="1"/>
    <col min="10" max="12" width="13.00390625" style="0" customWidth="1"/>
    <col min="13" max="13" width="13.421875" style="0" customWidth="1"/>
  </cols>
  <sheetData>
    <row r="1" spans="1:13" ht="22.5" customHeight="1">
      <c r="A1" s="157" t="s">
        <v>168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22.5" customHeight="1">
      <c r="A2" s="154" t="s">
        <v>63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4" spans="1:3" ht="12.75">
      <c r="A4" t="s">
        <v>148</v>
      </c>
      <c r="B4" s="14"/>
      <c r="C4" s="6">
        <f>'IM 3.2'!B5</f>
        <v>422025</v>
      </c>
    </row>
    <row r="6" ht="12.75">
      <c r="A6" t="s">
        <v>57</v>
      </c>
    </row>
    <row r="7" spans="1:13" ht="45" customHeight="1">
      <c r="A7" s="4" t="s">
        <v>4</v>
      </c>
      <c r="B7" s="4" t="s">
        <v>5</v>
      </c>
      <c r="C7" s="4" t="s">
        <v>6</v>
      </c>
      <c r="D7" s="4" t="s">
        <v>7</v>
      </c>
      <c r="E7" s="12" t="s">
        <v>137</v>
      </c>
      <c r="F7" s="12" t="s">
        <v>139</v>
      </c>
      <c r="G7" s="12" t="s">
        <v>138</v>
      </c>
      <c r="H7" s="12" t="s">
        <v>141</v>
      </c>
      <c r="I7" s="12" t="s">
        <v>142</v>
      </c>
      <c r="J7" s="12" t="s">
        <v>147</v>
      </c>
      <c r="K7" s="12" t="s">
        <v>145</v>
      </c>
      <c r="L7" s="12" t="s">
        <v>146</v>
      </c>
      <c r="M7" s="12" t="s">
        <v>144</v>
      </c>
    </row>
    <row r="8" spans="1:13" ht="12.75">
      <c r="A8" s="5" t="s">
        <v>8</v>
      </c>
      <c r="B8" s="6"/>
      <c r="C8" s="6"/>
      <c r="D8" s="6"/>
      <c r="E8" s="6"/>
      <c r="F8" s="6"/>
      <c r="G8" s="45">
        <v>0</v>
      </c>
      <c r="H8" s="45"/>
      <c r="I8" s="45"/>
      <c r="J8" s="6">
        <v>0</v>
      </c>
      <c r="K8" s="6"/>
      <c r="L8" s="6"/>
      <c r="M8" s="45">
        <v>0</v>
      </c>
    </row>
    <row r="9" spans="1:13" ht="12.75">
      <c r="A9" s="5" t="s">
        <v>9</v>
      </c>
      <c r="B9" s="6"/>
      <c r="C9" s="6"/>
      <c r="D9" s="6"/>
      <c r="E9" s="6"/>
      <c r="F9" s="6"/>
      <c r="G9" s="45">
        <v>0</v>
      </c>
      <c r="H9" s="45"/>
      <c r="I9" s="45"/>
      <c r="J9" s="6">
        <v>0</v>
      </c>
      <c r="K9" s="6"/>
      <c r="L9" s="6"/>
      <c r="M9" s="45">
        <v>0</v>
      </c>
    </row>
    <row r="10" spans="1:13" ht="12.75">
      <c r="A10" s="5" t="s">
        <v>10</v>
      </c>
      <c r="B10" s="6"/>
      <c r="C10" s="6"/>
      <c r="D10" s="6"/>
      <c r="E10" s="6"/>
      <c r="F10" s="6"/>
      <c r="G10" s="45">
        <v>0</v>
      </c>
      <c r="H10" s="45"/>
      <c r="I10" s="45"/>
      <c r="J10" s="6">
        <v>0</v>
      </c>
      <c r="K10" s="6"/>
      <c r="L10" s="6"/>
      <c r="M10" s="45">
        <v>0</v>
      </c>
    </row>
    <row r="11" spans="1:13" ht="12.75">
      <c r="A11" s="5" t="s">
        <v>11</v>
      </c>
      <c r="B11" s="6"/>
      <c r="C11" s="6"/>
      <c r="D11" s="6"/>
      <c r="E11" s="6"/>
      <c r="F11" s="6"/>
      <c r="G11" s="26">
        <v>0</v>
      </c>
      <c r="H11" s="26"/>
      <c r="I11" s="26"/>
      <c r="J11" s="6">
        <v>0</v>
      </c>
      <c r="K11" s="6"/>
      <c r="L11" s="6"/>
      <c r="M11" s="45">
        <v>0</v>
      </c>
    </row>
    <row r="12" spans="1:13" ht="12.75">
      <c r="A12" s="5" t="s">
        <v>12</v>
      </c>
      <c r="B12" s="63"/>
      <c r="C12" s="61"/>
      <c r="D12" s="61"/>
      <c r="E12" s="61">
        <f>216200/1.95583*0.85</f>
        <v>93960.10900742907</v>
      </c>
      <c r="F12" s="73"/>
      <c r="H12" s="26"/>
      <c r="I12" s="26"/>
      <c r="J12" s="6"/>
      <c r="K12" s="6"/>
      <c r="L12" s="105"/>
      <c r="M12" s="45"/>
    </row>
    <row r="13" spans="1:13" ht="12.75">
      <c r="A13" s="5" t="s">
        <v>13</v>
      </c>
      <c r="B13" s="63"/>
      <c r="C13" s="61"/>
      <c r="D13" s="61"/>
      <c r="F13" s="73"/>
      <c r="H13" s="26"/>
      <c r="I13" s="104"/>
      <c r="J13" s="6">
        <v>0</v>
      </c>
      <c r="K13" s="6"/>
      <c r="L13" s="105"/>
      <c r="M13" s="45"/>
    </row>
    <row r="14" spans="1:13" ht="12.75">
      <c r="A14" s="5" t="s">
        <v>14</v>
      </c>
      <c r="B14" s="63"/>
      <c r="C14" s="61"/>
      <c r="D14" s="61"/>
      <c r="E14" s="61">
        <v>130000</v>
      </c>
      <c r="F14" s="73"/>
      <c r="H14" s="26"/>
      <c r="I14" s="104"/>
      <c r="J14" s="26"/>
      <c r="K14" s="6"/>
      <c r="L14" s="105"/>
      <c r="M14" s="45"/>
    </row>
    <row r="15" spans="1:13" ht="12.75">
      <c r="A15" s="5" t="s">
        <v>15</v>
      </c>
      <c r="B15" s="63"/>
      <c r="C15" s="61"/>
      <c r="D15" s="61"/>
      <c r="F15" s="73"/>
      <c r="H15" s="26">
        <f>E12*0.2</f>
        <v>18792.021801485815</v>
      </c>
      <c r="I15" s="104"/>
      <c r="K15" s="6">
        <v>0</v>
      </c>
      <c r="L15" s="105"/>
      <c r="M15" s="45"/>
    </row>
    <row r="16" spans="1:13" ht="12.75">
      <c r="A16" s="5" t="s">
        <v>16</v>
      </c>
      <c r="B16" s="63"/>
      <c r="C16" s="61"/>
      <c r="D16" s="61"/>
      <c r="F16" s="73"/>
      <c r="H16" s="26">
        <f>E12*0.3</f>
        <v>28188.03270222872</v>
      </c>
      <c r="I16" s="104"/>
      <c r="K16" s="6">
        <v>0</v>
      </c>
      <c r="L16" s="105"/>
      <c r="M16" s="45"/>
    </row>
    <row r="17" spans="1:13" ht="12.75">
      <c r="A17" s="5" t="s">
        <v>17</v>
      </c>
      <c r="B17" s="63"/>
      <c r="C17" s="61"/>
      <c r="D17" s="61"/>
      <c r="E17" s="61"/>
      <c r="F17" s="73"/>
      <c r="H17" s="26">
        <f>E12*0.3+E14*0.2</f>
        <v>54188.032702228724</v>
      </c>
      <c r="I17" s="104"/>
      <c r="K17" s="6">
        <f>H15</f>
        <v>18792.021801485815</v>
      </c>
      <c r="L17" s="105"/>
      <c r="M17" s="45"/>
    </row>
    <row r="18" spans="1:13" ht="12.75">
      <c r="A18" s="5" t="s">
        <v>18</v>
      </c>
      <c r="B18" s="63"/>
      <c r="C18" s="61"/>
      <c r="D18" s="61"/>
      <c r="E18" s="61"/>
      <c r="F18" s="73"/>
      <c r="H18" s="26">
        <f>E14*0.3</f>
        <v>39000</v>
      </c>
      <c r="I18" s="104"/>
      <c r="K18" s="6">
        <f aca="true" t="shared" si="0" ref="K18:K39">H16</f>
        <v>28188.03270222872</v>
      </c>
      <c r="L18" s="105"/>
      <c r="M18" s="45"/>
    </row>
    <row r="19" spans="1:13" ht="12.75">
      <c r="A19" s="5" t="s">
        <v>19</v>
      </c>
      <c r="B19" s="63"/>
      <c r="C19" s="61"/>
      <c r="D19" s="61"/>
      <c r="E19" s="61">
        <v>76484</v>
      </c>
      <c r="F19" s="73"/>
      <c r="H19" s="26">
        <f>E14*0.3</f>
        <v>39000</v>
      </c>
      <c r="I19" s="104"/>
      <c r="K19" s="6">
        <f t="shared" si="0"/>
        <v>54188.032702228724</v>
      </c>
      <c r="L19" s="105"/>
      <c r="M19" s="45"/>
    </row>
    <row r="20" spans="1:13" ht="12.75">
      <c r="A20" s="5" t="s">
        <v>20</v>
      </c>
      <c r="B20" s="63"/>
      <c r="C20" s="61"/>
      <c r="D20" s="61"/>
      <c r="E20" s="61"/>
      <c r="F20" s="73"/>
      <c r="H20" s="26">
        <f>E19*0.2</f>
        <v>15296.800000000001</v>
      </c>
      <c r="I20" s="104"/>
      <c r="K20" s="6">
        <f t="shared" si="0"/>
        <v>39000</v>
      </c>
      <c r="L20" s="105"/>
      <c r="M20" s="45"/>
    </row>
    <row r="21" spans="1:13" ht="12.75">
      <c r="A21" s="5" t="s">
        <v>21</v>
      </c>
      <c r="B21" s="63"/>
      <c r="C21" s="61"/>
      <c r="D21" s="61"/>
      <c r="E21" s="61"/>
      <c r="F21" s="73"/>
      <c r="H21" s="26">
        <f>E19*0.2</f>
        <v>15296.800000000001</v>
      </c>
      <c r="I21" s="104"/>
      <c r="K21" s="6">
        <f t="shared" si="0"/>
        <v>39000</v>
      </c>
      <c r="L21" s="105"/>
      <c r="M21" s="45"/>
    </row>
    <row r="22" spans="1:13" ht="12.75">
      <c r="A22" s="5" t="s">
        <v>22</v>
      </c>
      <c r="B22" s="63"/>
      <c r="C22" s="61"/>
      <c r="D22" s="61"/>
      <c r="E22" s="61"/>
      <c r="F22" s="73"/>
      <c r="H22" s="26">
        <f>E19*0.2</f>
        <v>15296.800000000001</v>
      </c>
      <c r="I22" s="104"/>
      <c r="K22" s="6">
        <f t="shared" si="0"/>
        <v>15296.800000000001</v>
      </c>
      <c r="L22" s="105"/>
      <c r="M22" s="45"/>
    </row>
    <row r="23" spans="1:13" ht="12.75">
      <c r="A23" s="5" t="s">
        <v>23</v>
      </c>
      <c r="B23" s="63"/>
      <c r="C23" s="61"/>
      <c r="D23" s="61"/>
      <c r="E23" s="61"/>
      <c r="F23" s="73"/>
      <c r="H23" s="26">
        <f>+E19*0.2</f>
        <v>15296.800000000001</v>
      </c>
      <c r="I23" s="104"/>
      <c r="K23" s="6">
        <f t="shared" si="0"/>
        <v>15296.800000000001</v>
      </c>
      <c r="L23" s="105"/>
      <c r="M23" s="45"/>
    </row>
    <row r="24" spans="1:13" ht="12.75">
      <c r="A24" s="5" t="s">
        <v>24</v>
      </c>
      <c r="B24" s="63"/>
      <c r="C24" s="61"/>
      <c r="D24" s="62"/>
      <c r="E24" s="61">
        <f>40000+16581</f>
        <v>56581</v>
      </c>
      <c r="F24" s="73"/>
      <c r="H24" s="26">
        <f>E14*0.2+E19*0.2</f>
        <v>41296.8</v>
      </c>
      <c r="I24" s="104"/>
      <c r="K24" s="6">
        <f t="shared" si="0"/>
        <v>15296.800000000001</v>
      </c>
      <c r="L24" s="105"/>
      <c r="M24" s="45"/>
    </row>
    <row r="25" spans="1:13" ht="12.75">
      <c r="A25" s="5" t="s">
        <v>25</v>
      </c>
      <c r="B25" s="63"/>
      <c r="C25" s="61"/>
      <c r="D25" s="61"/>
      <c r="E25" s="61">
        <v>65000</v>
      </c>
      <c r="F25" s="73"/>
      <c r="H25" s="26">
        <f>E12*0.2+E24*0.2</f>
        <v>30108.221801485815</v>
      </c>
      <c r="I25" s="104"/>
      <c r="K25" s="6">
        <f t="shared" si="0"/>
        <v>15296.800000000001</v>
      </c>
      <c r="L25" s="105"/>
      <c r="M25" s="45"/>
    </row>
    <row r="26" spans="1:13" ht="12.75">
      <c r="A26" s="5" t="s">
        <v>26</v>
      </c>
      <c r="B26" s="63"/>
      <c r="C26" s="61"/>
      <c r="D26" s="61"/>
      <c r="E26" s="61"/>
      <c r="F26" s="73"/>
      <c r="G26" s="26"/>
      <c r="H26" s="26">
        <f>E25*0.2</f>
        <v>13000</v>
      </c>
      <c r="I26" s="104"/>
      <c r="K26" s="6">
        <f t="shared" si="0"/>
        <v>41296.8</v>
      </c>
      <c r="L26" s="105"/>
      <c r="M26" s="45"/>
    </row>
    <row r="27" spans="1:13" ht="12.75">
      <c r="A27" s="5" t="s">
        <v>27</v>
      </c>
      <c r="B27" s="63"/>
      <c r="C27" s="61"/>
      <c r="D27" s="61"/>
      <c r="E27" s="61"/>
      <c r="F27" s="73"/>
      <c r="G27" s="26"/>
      <c r="H27" s="26"/>
      <c r="I27" s="104"/>
      <c r="K27" s="6">
        <f t="shared" si="0"/>
        <v>30108.221801485815</v>
      </c>
      <c r="L27" s="105"/>
      <c r="M27" s="45"/>
    </row>
    <row r="28" spans="1:13" ht="12.75">
      <c r="A28" s="5" t="s">
        <v>28</v>
      </c>
      <c r="B28" s="63"/>
      <c r="C28" s="61"/>
      <c r="D28" s="61"/>
      <c r="E28" s="61"/>
      <c r="F28" s="73"/>
      <c r="G28" s="26"/>
      <c r="H28" s="26"/>
      <c r="I28" s="104"/>
      <c r="K28" s="6">
        <f t="shared" si="0"/>
        <v>13000</v>
      </c>
      <c r="L28" s="105"/>
      <c r="M28" s="45"/>
    </row>
    <row r="29" spans="1:13" ht="12.75">
      <c r="A29" s="5" t="s">
        <v>29</v>
      </c>
      <c r="B29" s="63"/>
      <c r="C29" s="61"/>
      <c r="D29" s="61"/>
      <c r="E29" s="61"/>
      <c r="F29" s="73"/>
      <c r="G29" s="26"/>
      <c r="H29" s="26">
        <f>E24*0.25+E25*0.25</f>
        <v>30395.25</v>
      </c>
      <c r="I29" s="104"/>
      <c r="K29" s="6">
        <f t="shared" si="0"/>
        <v>0</v>
      </c>
      <c r="L29" s="105"/>
      <c r="M29" s="45"/>
    </row>
    <row r="30" spans="1:13" ht="12.75">
      <c r="A30" s="5" t="s">
        <v>30</v>
      </c>
      <c r="B30" s="63"/>
      <c r="C30" s="61"/>
      <c r="D30" s="61"/>
      <c r="E30" s="61"/>
      <c r="F30" s="73"/>
      <c r="G30" s="26"/>
      <c r="H30" s="26"/>
      <c r="I30" s="104"/>
      <c r="K30" s="6">
        <f t="shared" si="0"/>
        <v>0</v>
      </c>
      <c r="L30" s="105"/>
      <c r="M30" s="45"/>
    </row>
    <row r="31" spans="1:13" ht="12.75">
      <c r="A31" s="5" t="s">
        <v>31</v>
      </c>
      <c r="B31" s="63"/>
      <c r="C31" s="61"/>
      <c r="D31" s="61"/>
      <c r="E31" s="61"/>
      <c r="F31" s="73"/>
      <c r="G31" s="26"/>
      <c r="H31" s="26"/>
      <c r="I31" s="104"/>
      <c r="K31" s="6">
        <f t="shared" si="0"/>
        <v>30395.25</v>
      </c>
      <c r="L31" s="105"/>
      <c r="M31" s="45"/>
    </row>
    <row r="32" spans="1:13" ht="12.75">
      <c r="A32" s="5" t="s">
        <v>32</v>
      </c>
      <c r="B32" s="63"/>
      <c r="C32" s="61"/>
      <c r="D32" s="61"/>
      <c r="E32" s="61"/>
      <c r="F32" s="73"/>
      <c r="G32" s="26"/>
      <c r="H32" s="26"/>
      <c r="I32" s="104"/>
      <c r="K32" s="6">
        <f t="shared" si="0"/>
        <v>0</v>
      </c>
      <c r="L32" s="105"/>
      <c r="M32" s="45"/>
    </row>
    <row r="33" spans="1:13" ht="12.75">
      <c r="A33" s="5" t="s">
        <v>33</v>
      </c>
      <c r="B33" s="61"/>
      <c r="C33" s="61"/>
      <c r="D33" s="62"/>
      <c r="E33" s="61"/>
      <c r="F33" s="62"/>
      <c r="G33" s="6"/>
      <c r="H33" s="26">
        <f>E24*0.25+E25*0.25</f>
        <v>30395.25</v>
      </c>
      <c r="I33" s="104"/>
      <c r="K33" s="6">
        <f t="shared" si="0"/>
        <v>0</v>
      </c>
      <c r="L33" s="105"/>
      <c r="M33" s="45"/>
    </row>
    <row r="34" spans="1:13" ht="12.75">
      <c r="A34" s="5" t="s">
        <v>34</v>
      </c>
      <c r="B34" s="61"/>
      <c r="C34" s="61"/>
      <c r="D34" s="62"/>
      <c r="E34" s="61"/>
      <c r="F34" s="62"/>
      <c r="G34" s="6"/>
      <c r="H34" s="26"/>
      <c r="I34" s="104"/>
      <c r="K34" s="6">
        <f t="shared" si="0"/>
        <v>0</v>
      </c>
      <c r="L34" s="105"/>
      <c r="M34" s="45"/>
    </row>
    <row r="35" spans="1:13" ht="12.75">
      <c r="A35" s="5" t="s">
        <v>35</v>
      </c>
      <c r="B35" s="61"/>
      <c r="C35" s="61"/>
      <c r="D35" s="62"/>
      <c r="E35" s="62"/>
      <c r="F35" s="62"/>
      <c r="G35" s="6"/>
      <c r="H35" s="26"/>
      <c r="I35" s="104"/>
      <c r="K35" s="6">
        <f t="shared" si="0"/>
        <v>30395.25</v>
      </c>
      <c r="L35" s="105"/>
      <c r="M35" s="45"/>
    </row>
    <row r="36" spans="1:13" ht="12.75">
      <c r="A36" s="5" t="s">
        <v>36</v>
      </c>
      <c r="B36" s="61"/>
      <c r="C36" s="61"/>
      <c r="D36" s="62"/>
      <c r="E36" s="62"/>
      <c r="F36" s="62"/>
      <c r="G36" s="6"/>
      <c r="H36" s="26"/>
      <c r="I36" s="104"/>
      <c r="K36" s="6">
        <f t="shared" si="0"/>
        <v>0</v>
      </c>
      <c r="L36" s="105"/>
      <c r="M36" s="45"/>
    </row>
    <row r="37" spans="1:13" ht="12.75">
      <c r="A37" s="5" t="s">
        <v>37</v>
      </c>
      <c r="B37" s="57"/>
      <c r="C37" s="57"/>
      <c r="D37" s="58"/>
      <c r="E37" s="58"/>
      <c r="F37" s="58"/>
      <c r="G37" s="6"/>
      <c r="H37" s="26">
        <f>(E24+E25)*0.3</f>
        <v>36474.299999999996</v>
      </c>
      <c r="I37" s="104"/>
      <c r="K37" s="6">
        <f t="shared" si="0"/>
        <v>0</v>
      </c>
      <c r="L37" s="105"/>
      <c r="M37" s="45"/>
    </row>
    <row r="38" spans="1:13" ht="12.75">
      <c r="A38" s="5" t="s">
        <v>38</v>
      </c>
      <c r="B38" s="57"/>
      <c r="C38" s="57"/>
      <c r="D38" s="58"/>
      <c r="E38" s="58"/>
      <c r="F38" s="58"/>
      <c r="G38" s="6"/>
      <c r="H38" s="26"/>
      <c r="I38" s="104"/>
      <c r="J38" s="6"/>
      <c r="K38" s="6">
        <f t="shared" si="0"/>
        <v>0</v>
      </c>
      <c r="L38" s="105"/>
      <c r="M38" s="45"/>
    </row>
    <row r="39" spans="1:13" ht="12.75">
      <c r="A39" s="5" t="s">
        <v>39</v>
      </c>
      <c r="B39" s="57"/>
      <c r="C39" s="57"/>
      <c r="D39" s="58"/>
      <c r="E39" s="58"/>
      <c r="F39" s="58"/>
      <c r="G39" s="6"/>
      <c r="H39" s="26"/>
      <c r="I39" s="104"/>
      <c r="J39" s="6"/>
      <c r="K39" s="6">
        <f t="shared" si="0"/>
        <v>36474.299999999996</v>
      </c>
      <c r="L39" s="105"/>
      <c r="M39" s="45"/>
    </row>
    <row r="40" spans="1:13" ht="12.75">
      <c r="A40" s="5" t="s">
        <v>40</v>
      </c>
      <c r="B40" s="57"/>
      <c r="C40" s="58"/>
      <c r="D40" s="58"/>
      <c r="E40" s="58"/>
      <c r="F40" s="58"/>
      <c r="G40" s="6"/>
      <c r="H40" s="26"/>
      <c r="I40" s="104"/>
      <c r="J40" s="6"/>
      <c r="K40" s="6"/>
      <c r="L40" s="105"/>
      <c r="M40" s="45"/>
    </row>
    <row r="41" spans="1:13" ht="12.75">
      <c r="A41" s="5" t="s">
        <v>41</v>
      </c>
      <c r="B41" s="57"/>
      <c r="C41" s="58"/>
      <c r="D41" s="58"/>
      <c r="E41" s="58"/>
      <c r="F41" s="58"/>
      <c r="G41" s="6"/>
      <c r="H41" s="26"/>
      <c r="I41" s="104"/>
      <c r="J41" s="6"/>
      <c r="K41" s="6"/>
      <c r="L41" s="105"/>
      <c r="M41" s="45"/>
    </row>
    <row r="42" spans="1:13" ht="12.75">
      <c r="A42" s="5" t="s">
        <v>42</v>
      </c>
      <c r="B42" s="57"/>
      <c r="C42" s="58"/>
      <c r="D42" s="58"/>
      <c r="E42" s="58"/>
      <c r="F42" s="58"/>
      <c r="G42" s="6"/>
      <c r="H42" s="26"/>
      <c r="I42" s="104"/>
      <c r="J42" s="6"/>
      <c r="K42" s="6"/>
      <c r="L42" s="105"/>
      <c r="M42" s="45"/>
    </row>
    <row r="43" spans="1:13" ht="12.75">
      <c r="A43" s="5" t="s">
        <v>43</v>
      </c>
      <c r="B43" s="57"/>
      <c r="C43" s="58"/>
      <c r="D43" s="58"/>
      <c r="E43" s="58"/>
      <c r="F43" s="58"/>
      <c r="H43" s="6"/>
      <c r="I43" s="6"/>
      <c r="J43" s="6"/>
      <c r="K43" s="6"/>
      <c r="L43" s="105"/>
      <c r="M43" s="45"/>
    </row>
    <row r="44" spans="1:13" ht="12.75">
      <c r="A44" s="5"/>
      <c r="B44" s="6"/>
      <c r="G44" s="6"/>
      <c r="J44" s="6"/>
      <c r="K44" s="6"/>
      <c r="L44" s="6"/>
      <c r="M44" s="6"/>
    </row>
    <row r="45" spans="8:13" ht="12.75">
      <c r="H45" s="6"/>
      <c r="I45" s="6"/>
      <c r="J45" s="6"/>
      <c r="K45" s="6"/>
      <c r="L45" s="6"/>
      <c r="M45" s="6"/>
    </row>
    <row r="46" spans="10:13" ht="12.75">
      <c r="J46" s="6"/>
      <c r="K46" s="6"/>
      <c r="L46" s="6"/>
      <c r="M46" s="6"/>
    </row>
    <row r="47" ht="12.75">
      <c r="M47" s="6"/>
    </row>
    <row r="48" ht="12.75">
      <c r="A48" t="s">
        <v>58</v>
      </c>
    </row>
    <row r="50" spans="1:13" ht="38.25">
      <c r="A50" s="4" t="s">
        <v>4</v>
      </c>
      <c r="B50" s="4" t="s">
        <v>5</v>
      </c>
      <c r="C50" s="4" t="s">
        <v>6</v>
      </c>
      <c r="D50" s="4" t="s">
        <v>7</v>
      </c>
      <c r="E50" s="12" t="s">
        <v>137</v>
      </c>
      <c r="F50" s="12" t="s">
        <v>139</v>
      </c>
      <c r="G50" s="12" t="s">
        <v>138</v>
      </c>
      <c r="H50" s="12" t="s">
        <v>141</v>
      </c>
      <c r="I50" s="12" t="s">
        <v>142</v>
      </c>
      <c r="J50" s="12" t="s">
        <v>147</v>
      </c>
      <c r="K50" s="12" t="s">
        <v>145</v>
      </c>
      <c r="L50" s="12" t="s">
        <v>146</v>
      </c>
      <c r="M50" s="12" t="s">
        <v>144</v>
      </c>
    </row>
    <row r="51" spans="1:13" ht="12.75">
      <c r="A51" s="5" t="s">
        <v>8</v>
      </c>
      <c r="B51">
        <v>0</v>
      </c>
      <c r="C51" s="6">
        <v>0</v>
      </c>
      <c r="D51" s="6">
        <v>0</v>
      </c>
      <c r="E51" s="6"/>
      <c r="F51" s="6"/>
      <c r="G51" s="6">
        <f>G8</f>
        <v>0</v>
      </c>
      <c r="H51" s="6"/>
      <c r="I51" s="6"/>
      <c r="J51" s="6">
        <f>J8</f>
        <v>0</v>
      </c>
      <c r="K51" s="6"/>
      <c r="L51" s="6"/>
      <c r="M51" s="6">
        <f>M8</f>
        <v>0</v>
      </c>
    </row>
    <row r="52" spans="1:13" ht="12.75">
      <c r="A52" s="5" t="s">
        <v>9</v>
      </c>
      <c r="B52">
        <v>0</v>
      </c>
      <c r="C52" s="6">
        <v>0</v>
      </c>
      <c r="D52" s="6">
        <v>0</v>
      </c>
      <c r="E52" s="6"/>
      <c r="F52" s="6"/>
      <c r="G52" s="6">
        <f>G51+G9</f>
        <v>0</v>
      </c>
      <c r="H52" s="6"/>
      <c r="I52" s="6"/>
      <c r="J52" s="6">
        <f>J51+J9</f>
        <v>0</v>
      </c>
      <c r="K52" s="6"/>
      <c r="L52" s="6"/>
      <c r="M52" s="6">
        <f>M51+M9</f>
        <v>0</v>
      </c>
    </row>
    <row r="53" spans="1:13" ht="12.75">
      <c r="A53" s="5" t="s">
        <v>10</v>
      </c>
      <c r="B53">
        <v>0</v>
      </c>
      <c r="C53" s="6">
        <v>0</v>
      </c>
      <c r="D53" s="6">
        <v>0</v>
      </c>
      <c r="E53" s="6"/>
      <c r="F53" s="6"/>
      <c r="G53" s="6">
        <f>G52+G10</f>
        <v>0</v>
      </c>
      <c r="H53" s="6"/>
      <c r="I53" s="6"/>
      <c r="J53" s="6">
        <f>J52+J10</f>
        <v>0</v>
      </c>
      <c r="K53" s="6"/>
      <c r="L53" s="6"/>
      <c r="M53" s="6">
        <f>M52+M10</f>
        <v>0</v>
      </c>
    </row>
    <row r="54" spans="1:13" ht="12.75">
      <c r="A54" s="5" t="s">
        <v>11</v>
      </c>
      <c r="B54" s="6"/>
      <c r="C54" s="6"/>
      <c r="D54" s="6"/>
      <c r="E54" s="6"/>
      <c r="F54" s="6"/>
      <c r="G54" s="6">
        <f>G53+G11</f>
        <v>0</v>
      </c>
      <c r="H54" s="6"/>
      <c r="I54" s="6"/>
      <c r="J54" s="6">
        <f>J53+J11</f>
        <v>0</v>
      </c>
      <c r="K54" s="6"/>
      <c r="L54" s="6"/>
      <c r="M54" s="6">
        <f>M53+M11</f>
        <v>0</v>
      </c>
    </row>
    <row r="55" spans="1:13" ht="12.75">
      <c r="A55" s="5" t="s">
        <v>12</v>
      </c>
      <c r="B55" s="6"/>
      <c r="C55" s="6"/>
      <c r="D55" s="6"/>
      <c r="E55" s="6">
        <f>E12+E54</f>
        <v>93960.10900742907</v>
      </c>
      <c r="F55" s="6"/>
      <c r="G55" s="6">
        <f aca="true" t="shared" si="1" ref="G55:M55">G12+G54</f>
        <v>0</v>
      </c>
      <c r="H55" s="6">
        <f t="shared" si="1"/>
        <v>0</v>
      </c>
      <c r="I55" s="6">
        <f t="shared" si="1"/>
        <v>0</v>
      </c>
      <c r="J55" s="6">
        <f t="shared" si="1"/>
        <v>0</v>
      </c>
      <c r="K55" s="6">
        <f t="shared" si="1"/>
        <v>0</v>
      </c>
      <c r="L55" s="6">
        <f t="shared" si="1"/>
        <v>0</v>
      </c>
      <c r="M55" s="6">
        <f t="shared" si="1"/>
        <v>0</v>
      </c>
    </row>
    <row r="56" spans="1:13" ht="12.75">
      <c r="A56" s="5" t="s">
        <v>13</v>
      </c>
      <c r="B56" s="6"/>
      <c r="C56" s="6"/>
      <c r="D56" s="6"/>
      <c r="E56" s="6">
        <f aca="true" t="shared" si="2" ref="E56:E86">E13+E55</f>
        <v>93960.10900742907</v>
      </c>
      <c r="F56" s="6"/>
      <c r="G56" s="6"/>
      <c r="H56" s="6">
        <f aca="true" t="shared" si="3" ref="H56:H70">H13+H55</f>
        <v>0</v>
      </c>
      <c r="I56" s="6"/>
      <c r="J56" s="6"/>
      <c r="K56" s="6"/>
      <c r="L56" s="6"/>
      <c r="M56" s="6">
        <f>M55+M14</f>
        <v>0</v>
      </c>
    </row>
    <row r="57" spans="1:13" ht="12.75">
      <c r="A57" s="5" t="s">
        <v>14</v>
      </c>
      <c r="B57" s="6"/>
      <c r="C57" s="6"/>
      <c r="D57" s="6"/>
      <c r="E57" s="6">
        <f t="shared" si="2"/>
        <v>223960.10900742907</v>
      </c>
      <c r="F57" s="6"/>
      <c r="G57" s="6"/>
      <c r="H57" s="6">
        <f t="shared" si="3"/>
        <v>0</v>
      </c>
      <c r="I57" s="6"/>
      <c r="J57" s="6"/>
      <c r="K57" s="6">
        <f>K56+K15</f>
        <v>0</v>
      </c>
      <c r="L57" s="6"/>
      <c r="M57" s="6">
        <f>M56+M15</f>
        <v>0</v>
      </c>
    </row>
    <row r="58" spans="1:13" ht="12.75">
      <c r="A58" s="5" t="s">
        <v>15</v>
      </c>
      <c r="B58" s="6"/>
      <c r="C58" s="6"/>
      <c r="D58" s="6"/>
      <c r="E58" s="6">
        <f t="shared" si="2"/>
        <v>223960.10900742907</v>
      </c>
      <c r="F58" s="6"/>
      <c r="G58" s="6"/>
      <c r="H58" s="6">
        <f t="shared" si="3"/>
        <v>18792.021801485815</v>
      </c>
      <c r="I58" s="6"/>
      <c r="J58" s="6"/>
      <c r="K58" s="6">
        <f>K57+K16</f>
        <v>0</v>
      </c>
      <c r="L58" s="6"/>
      <c r="M58" s="6">
        <f>M57+M16</f>
        <v>0</v>
      </c>
    </row>
    <row r="59" spans="1:13" ht="12.75">
      <c r="A59" s="5" t="s">
        <v>16</v>
      </c>
      <c r="B59" s="6"/>
      <c r="C59" s="6"/>
      <c r="D59" s="6"/>
      <c r="E59" s="6">
        <f t="shared" si="2"/>
        <v>223960.10900742907</v>
      </c>
      <c r="F59" s="6"/>
      <c r="G59" s="6"/>
      <c r="H59" s="6">
        <f t="shared" si="3"/>
        <v>46980.054503714535</v>
      </c>
      <c r="I59" s="6"/>
      <c r="J59" s="6"/>
      <c r="K59" s="6">
        <f aca="true" t="shared" si="4" ref="K59:K86">K58+K16</f>
        <v>0</v>
      </c>
      <c r="L59" s="6"/>
      <c r="M59" s="6">
        <f aca="true" t="shared" si="5" ref="M59:M86">M58+M16</f>
        <v>0</v>
      </c>
    </row>
    <row r="60" spans="1:13" ht="12.75">
      <c r="A60" s="5" t="s">
        <v>17</v>
      </c>
      <c r="B60" s="6"/>
      <c r="C60" s="6"/>
      <c r="D60" s="6"/>
      <c r="E60" s="6">
        <f t="shared" si="2"/>
        <v>223960.10900742907</v>
      </c>
      <c r="F60" s="6"/>
      <c r="G60" s="6"/>
      <c r="H60" s="6">
        <f t="shared" si="3"/>
        <v>101168.08720594326</v>
      </c>
      <c r="I60" s="6"/>
      <c r="J60" s="6"/>
      <c r="K60" s="6">
        <f t="shared" si="4"/>
        <v>18792.021801485815</v>
      </c>
      <c r="L60" s="6"/>
      <c r="M60" s="6">
        <f t="shared" si="5"/>
        <v>0</v>
      </c>
    </row>
    <row r="61" spans="1:13" ht="12.75">
      <c r="A61" s="5" t="s">
        <v>18</v>
      </c>
      <c r="B61" s="6"/>
      <c r="C61" s="6"/>
      <c r="D61" s="6"/>
      <c r="E61" s="6">
        <f t="shared" si="2"/>
        <v>223960.10900742907</v>
      </c>
      <c r="F61" s="6"/>
      <c r="G61" s="6"/>
      <c r="H61" s="6">
        <f t="shared" si="3"/>
        <v>140168.08720594324</v>
      </c>
      <c r="I61" s="6"/>
      <c r="J61" s="6"/>
      <c r="K61" s="6">
        <f t="shared" si="4"/>
        <v>46980.054503714535</v>
      </c>
      <c r="L61" s="6"/>
      <c r="M61" s="6">
        <f t="shared" si="5"/>
        <v>0</v>
      </c>
    </row>
    <row r="62" spans="1:13" ht="12.75">
      <c r="A62" s="5" t="s">
        <v>19</v>
      </c>
      <c r="B62" s="6"/>
      <c r="C62" s="6"/>
      <c r="D62" s="6"/>
      <c r="E62" s="6">
        <f t="shared" si="2"/>
        <v>300444.1090074291</v>
      </c>
      <c r="F62" s="6"/>
      <c r="G62" s="6"/>
      <c r="H62" s="6">
        <f t="shared" si="3"/>
        <v>179168.08720594324</v>
      </c>
      <c r="I62" s="6"/>
      <c r="J62" s="6"/>
      <c r="K62" s="6">
        <f t="shared" si="4"/>
        <v>101168.08720594326</v>
      </c>
      <c r="L62" s="6"/>
      <c r="M62" s="6">
        <f t="shared" si="5"/>
        <v>0</v>
      </c>
    </row>
    <row r="63" spans="1:13" ht="12.75">
      <c r="A63" s="5" t="s">
        <v>20</v>
      </c>
      <c r="B63" s="6"/>
      <c r="C63" s="6"/>
      <c r="D63" s="6"/>
      <c r="E63" s="6">
        <f t="shared" si="2"/>
        <v>300444.1090074291</v>
      </c>
      <c r="F63" s="6"/>
      <c r="G63" s="6"/>
      <c r="H63" s="6">
        <f t="shared" si="3"/>
        <v>194464.88720594323</v>
      </c>
      <c r="I63" s="6"/>
      <c r="J63" s="6"/>
      <c r="K63" s="6">
        <f t="shared" si="4"/>
        <v>140168.08720594324</v>
      </c>
      <c r="L63" s="6"/>
      <c r="M63" s="6">
        <f t="shared" si="5"/>
        <v>0</v>
      </c>
    </row>
    <row r="64" spans="1:13" ht="12.75">
      <c r="A64" s="5" t="s">
        <v>21</v>
      </c>
      <c r="B64" s="6"/>
      <c r="C64" s="6"/>
      <c r="D64" s="6"/>
      <c r="E64" s="6">
        <f t="shared" si="2"/>
        <v>300444.1090074291</v>
      </c>
      <c r="F64" s="6"/>
      <c r="G64" s="6"/>
      <c r="H64" s="6">
        <f t="shared" si="3"/>
        <v>209761.68720594322</v>
      </c>
      <c r="I64" s="6"/>
      <c r="J64" s="6"/>
      <c r="K64" s="6">
        <f t="shared" si="4"/>
        <v>179168.08720594324</v>
      </c>
      <c r="L64" s="6"/>
      <c r="M64" s="6">
        <f t="shared" si="5"/>
        <v>0</v>
      </c>
    </row>
    <row r="65" spans="1:13" ht="12.75">
      <c r="A65" s="5" t="s">
        <v>22</v>
      </c>
      <c r="B65" s="6"/>
      <c r="C65" s="6"/>
      <c r="D65" s="6"/>
      <c r="E65" s="6">
        <f t="shared" si="2"/>
        <v>300444.1090074291</v>
      </c>
      <c r="F65" s="6"/>
      <c r="G65" s="6"/>
      <c r="H65" s="6">
        <f t="shared" si="3"/>
        <v>225058.4872059432</v>
      </c>
      <c r="I65" s="6"/>
      <c r="J65" s="6"/>
      <c r="K65" s="6">
        <f t="shared" si="4"/>
        <v>194464.88720594323</v>
      </c>
      <c r="L65" s="6"/>
      <c r="M65" s="6">
        <f t="shared" si="5"/>
        <v>0</v>
      </c>
    </row>
    <row r="66" spans="1:13" ht="12.75">
      <c r="A66" s="5" t="s">
        <v>23</v>
      </c>
      <c r="B66" s="6"/>
      <c r="C66" s="6"/>
      <c r="D66" s="6"/>
      <c r="E66" s="6">
        <f t="shared" si="2"/>
        <v>300444.1090074291</v>
      </c>
      <c r="F66" s="6"/>
      <c r="G66" s="6"/>
      <c r="H66" s="6">
        <f t="shared" si="3"/>
        <v>240355.2872059432</v>
      </c>
      <c r="I66" s="6"/>
      <c r="J66" s="6"/>
      <c r="K66" s="6">
        <f t="shared" si="4"/>
        <v>209761.68720594322</v>
      </c>
      <c r="L66" s="6"/>
      <c r="M66" s="6">
        <f t="shared" si="5"/>
        <v>0</v>
      </c>
    </row>
    <row r="67" spans="1:13" ht="12.75">
      <c r="A67" s="5" t="s">
        <v>24</v>
      </c>
      <c r="B67" s="6"/>
      <c r="C67" s="6"/>
      <c r="D67" s="6"/>
      <c r="E67" s="6">
        <f t="shared" si="2"/>
        <v>357025.1090074291</v>
      </c>
      <c r="F67" s="6"/>
      <c r="G67" s="6"/>
      <c r="H67" s="6">
        <f t="shared" si="3"/>
        <v>281652.0872059432</v>
      </c>
      <c r="I67" s="6"/>
      <c r="J67" s="6"/>
      <c r="K67" s="6">
        <f t="shared" si="4"/>
        <v>225058.4872059432</v>
      </c>
      <c r="L67" s="6"/>
      <c r="M67" s="6">
        <f t="shared" si="5"/>
        <v>0</v>
      </c>
    </row>
    <row r="68" spans="1:13" ht="12.75">
      <c r="A68" s="5" t="s">
        <v>25</v>
      </c>
      <c r="B68" s="6"/>
      <c r="C68" s="6"/>
      <c r="D68" s="6"/>
      <c r="E68" s="6">
        <f t="shared" si="2"/>
        <v>422025.1090074291</v>
      </c>
      <c r="F68" s="6"/>
      <c r="G68" s="6"/>
      <c r="H68" s="6">
        <f t="shared" si="3"/>
        <v>311760.309007429</v>
      </c>
      <c r="I68" s="6"/>
      <c r="J68" s="6"/>
      <c r="K68" s="6">
        <f t="shared" si="4"/>
        <v>240355.2872059432</v>
      </c>
      <c r="L68" s="6"/>
      <c r="M68" s="6">
        <f t="shared" si="5"/>
        <v>0</v>
      </c>
    </row>
    <row r="69" spans="1:13" ht="12.75">
      <c r="A69" s="5" t="s">
        <v>26</v>
      </c>
      <c r="B69" s="6"/>
      <c r="C69" s="6"/>
      <c r="D69" s="6"/>
      <c r="E69" s="6">
        <f t="shared" si="2"/>
        <v>422025.1090074291</v>
      </c>
      <c r="F69" s="6"/>
      <c r="G69" s="6"/>
      <c r="H69" s="6">
        <f t="shared" si="3"/>
        <v>324760.309007429</v>
      </c>
      <c r="I69" s="6"/>
      <c r="J69" s="6"/>
      <c r="K69" s="6">
        <f t="shared" si="4"/>
        <v>281652.0872059432</v>
      </c>
      <c r="L69" s="6"/>
      <c r="M69" s="6">
        <f t="shared" si="5"/>
        <v>0</v>
      </c>
    </row>
    <row r="70" spans="1:13" ht="12.75">
      <c r="A70" s="5" t="s">
        <v>27</v>
      </c>
      <c r="B70" s="6"/>
      <c r="C70" s="6"/>
      <c r="D70" s="6"/>
      <c r="E70" s="6">
        <f t="shared" si="2"/>
        <v>422025.1090074291</v>
      </c>
      <c r="F70" s="6"/>
      <c r="G70" s="6"/>
      <c r="H70" s="6">
        <f t="shared" si="3"/>
        <v>324760.309007429</v>
      </c>
      <c r="I70" s="6"/>
      <c r="J70" s="6"/>
      <c r="K70" s="6">
        <f t="shared" si="4"/>
        <v>311760.309007429</v>
      </c>
      <c r="L70" s="6"/>
      <c r="M70" s="6">
        <f t="shared" si="5"/>
        <v>0</v>
      </c>
    </row>
    <row r="71" spans="1:13" ht="12.75">
      <c r="A71" s="5" t="s">
        <v>28</v>
      </c>
      <c r="E71" s="6">
        <f t="shared" si="2"/>
        <v>422025.1090074291</v>
      </c>
      <c r="G71" s="6"/>
      <c r="H71" s="6">
        <f aca="true" t="shared" si="6" ref="H71:H86">H28+H70</f>
        <v>324760.309007429</v>
      </c>
      <c r="I71" s="6"/>
      <c r="J71" s="6"/>
      <c r="K71" s="6">
        <f t="shared" si="4"/>
        <v>324760.309007429</v>
      </c>
      <c r="L71" s="6"/>
      <c r="M71" s="6">
        <f t="shared" si="5"/>
        <v>0</v>
      </c>
    </row>
    <row r="72" spans="1:13" ht="12.75">
      <c r="A72" s="5" t="s">
        <v>29</v>
      </c>
      <c r="E72" s="6">
        <f t="shared" si="2"/>
        <v>422025.1090074291</v>
      </c>
      <c r="G72" s="6"/>
      <c r="H72" s="6">
        <f t="shared" si="6"/>
        <v>355155.559007429</v>
      </c>
      <c r="I72" s="6"/>
      <c r="J72" s="6"/>
      <c r="K72" s="6">
        <f t="shared" si="4"/>
        <v>324760.309007429</v>
      </c>
      <c r="L72" s="6"/>
      <c r="M72" s="6">
        <f t="shared" si="5"/>
        <v>0</v>
      </c>
    </row>
    <row r="73" spans="1:13" ht="12.75">
      <c r="A73" s="5" t="s">
        <v>30</v>
      </c>
      <c r="E73" s="6">
        <f t="shared" si="2"/>
        <v>422025.1090074291</v>
      </c>
      <c r="G73" s="6"/>
      <c r="H73" s="6">
        <f t="shared" si="6"/>
        <v>355155.559007429</v>
      </c>
      <c r="I73" s="6"/>
      <c r="J73" s="6"/>
      <c r="K73" s="6">
        <f t="shared" si="4"/>
        <v>324760.309007429</v>
      </c>
      <c r="L73" s="6"/>
      <c r="M73" s="6">
        <f t="shared" si="5"/>
        <v>0</v>
      </c>
    </row>
    <row r="74" spans="1:13" ht="12.75">
      <c r="A74" s="5" t="s">
        <v>31</v>
      </c>
      <c r="E74" s="6">
        <f t="shared" si="2"/>
        <v>422025.1090074291</v>
      </c>
      <c r="G74" s="6"/>
      <c r="H74" s="6">
        <f t="shared" si="6"/>
        <v>355155.559007429</v>
      </c>
      <c r="I74" s="6"/>
      <c r="J74" s="6"/>
      <c r="K74" s="6">
        <f t="shared" si="4"/>
        <v>355155.559007429</v>
      </c>
      <c r="L74" s="6"/>
      <c r="M74" s="6">
        <f t="shared" si="5"/>
        <v>0</v>
      </c>
    </row>
    <row r="75" spans="1:13" ht="12.75">
      <c r="A75" s="5" t="s">
        <v>32</v>
      </c>
      <c r="E75" s="6">
        <f t="shared" si="2"/>
        <v>422025.1090074291</v>
      </c>
      <c r="G75" s="6"/>
      <c r="H75" s="6">
        <f t="shared" si="6"/>
        <v>355155.559007429</v>
      </c>
      <c r="I75" s="6"/>
      <c r="J75" s="6"/>
      <c r="K75" s="6">
        <f t="shared" si="4"/>
        <v>355155.559007429</v>
      </c>
      <c r="L75" s="6"/>
      <c r="M75" s="6">
        <f t="shared" si="5"/>
        <v>0</v>
      </c>
    </row>
    <row r="76" spans="1:13" ht="12.75">
      <c r="A76" s="5" t="s">
        <v>33</v>
      </c>
      <c r="E76" s="6">
        <f t="shared" si="2"/>
        <v>422025.1090074291</v>
      </c>
      <c r="G76" s="6"/>
      <c r="H76" s="6">
        <f t="shared" si="6"/>
        <v>385550.809007429</v>
      </c>
      <c r="I76" s="6"/>
      <c r="J76" s="6"/>
      <c r="K76" s="6">
        <f t="shared" si="4"/>
        <v>355155.559007429</v>
      </c>
      <c r="L76" s="6"/>
      <c r="M76" s="6">
        <f t="shared" si="5"/>
        <v>0</v>
      </c>
    </row>
    <row r="77" spans="1:13" ht="12.75">
      <c r="A77" s="5" t="s">
        <v>34</v>
      </c>
      <c r="E77" s="6">
        <f t="shared" si="2"/>
        <v>422025.1090074291</v>
      </c>
      <c r="G77" s="6"/>
      <c r="H77" s="6">
        <f t="shared" si="6"/>
        <v>385550.809007429</v>
      </c>
      <c r="I77" s="6"/>
      <c r="J77" s="6"/>
      <c r="K77" s="6">
        <f t="shared" si="4"/>
        <v>355155.559007429</v>
      </c>
      <c r="L77" s="6"/>
      <c r="M77" s="6">
        <f t="shared" si="5"/>
        <v>0</v>
      </c>
    </row>
    <row r="78" spans="1:13" ht="12.75">
      <c r="A78" s="5" t="s">
        <v>35</v>
      </c>
      <c r="E78" s="6">
        <f t="shared" si="2"/>
        <v>422025.1090074291</v>
      </c>
      <c r="G78" s="6"/>
      <c r="H78" s="6">
        <f t="shared" si="6"/>
        <v>385550.809007429</v>
      </c>
      <c r="I78" s="6"/>
      <c r="J78" s="6"/>
      <c r="K78" s="6">
        <f t="shared" si="4"/>
        <v>385550.809007429</v>
      </c>
      <c r="L78" s="6"/>
      <c r="M78" s="6">
        <f t="shared" si="5"/>
        <v>0</v>
      </c>
    </row>
    <row r="79" spans="1:13" ht="12.75">
      <c r="A79" s="5" t="s">
        <v>36</v>
      </c>
      <c r="E79" s="6">
        <f t="shared" si="2"/>
        <v>422025.1090074291</v>
      </c>
      <c r="G79" s="6"/>
      <c r="H79" s="6">
        <f t="shared" si="6"/>
        <v>385550.809007429</v>
      </c>
      <c r="I79" s="6"/>
      <c r="J79" s="6"/>
      <c r="K79" s="6">
        <f t="shared" si="4"/>
        <v>385550.809007429</v>
      </c>
      <c r="L79" s="6"/>
      <c r="M79" s="6">
        <f t="shared" si="5"/>
        <v>0</v>
      </c>
    </row>
    <row r="80" spans="1:13" ht="12.75">
      <c r="A80" s="5" t="s">
        <v>37</v>
      </c>
      <c r="E80" s="6">
        <f t="shared" si="2"/>
        <v>422025.1090074291</v>
      </c>
      <c r="G80" s="6"/>
      <c r="H80" s="6">
        <f t="shared" si="6"/>
        <v>422025.109007429</v>
      </c>
      <c r="I80" s="6"/>
      <c r="J80" s="6"/>
      <c r="K80" s="6">
        <f t="shared" si="4"/>
        <v>385550.809007429</v>
      </c>
      <c r="L80" s="6"/>
      <c r="M80" s="6">
        <f t="shared" si="5"/>
        <v>0</v>
      </c>
    </row>
    <row r="81" spans="1:13" ht="12.75">
      <c r="A81" s="5" t="s">
        <v>38</v>
      </c>
      <c r="E81" s="6">
        <f t="shared" si="2"/>
        <v>422025.1090074291</v>
      </c>
      <c r="G81" s="6"/>
      <c r="H81" s="6">
        <f t="shared" si="6"/>
        <v>422025.109007429</v>
      </c>
      <c r="I81" s="6"/>
      <c r="J81" s="6"/>
      <c r="K81" s="6">
        <f t="shared" si="4"/>
        <v>385550.809007429</v>
      </c>
      <c r="L81" s="6"/>
      <c r="M81" s="6">
        <f t="shared" si="5"/>
        <v>0</v>
      </c>
    </row>
    <row r="82" spans="1:13" ht="12.75">
      <c r="A82" s="5" t="s">
        <v>39</v>
      </c>
      <c r="E82" s="6">
        <f t="shared" si="2"/>
        <v>422025.1090074291</v>
      </c>
      <c r="G82" s="6"/>
      <c r="H82" s="6">
        <f t="shared" si="6"/>
        <v>422025.109007429</v>
      </c>
      <c r="I82" s="6"/>
      <c r="J82" s="6"/>
      <c r="K82" s="6">
        <f t="shared" si="4"/>
        <v>422025.109007429</v>
      </c>
      <c r="L82" s="6"/>
      <c r="M82" s="6">
        <f t="shared" si="5"/>
        <v>0</v>
      </c>
    </row>
    <row r="83" spans="1:13" ht="12.75">
      <c r="A83" s="5" t="s">
        <v>40</v>
      </c>
      <c r="E83" s="6">
        <f t="shared" si="2"/>
        <v>422025.1090074291</v>
      </c>
      <c r="G83" s="6"/>
      <c r="H83" s="6">
        <f t="shared" si="6"/>
        <v>422025.109007429</v>
      </c>
      <c r="I83" s="6"/>
      <c r="J83" s="6"/>
      <c r="K83" s="6">
        <f t="shared" si="4"/>
        <v>422025.109007429</v>
      </c>
      <c r="L83" s="6"/>
      <c r="M83" s="6">
        <f t="shared" si="5"/>
        <v>0</v>
      </c>
    </row>
    <row r="84" spans="1:13" ht="12.75">
      <c r="A84" s="5" t="s">
        <v>41</v>
      </c>
      <c r="E84" s="6">
        <f t="shared" si="2"/>
        <v>422025.1090074291</v>
      </c>
      <c r="G84" s="6"/>
      <c r="H84" s="6">
        <f t="shared" si="6"/>
        <v>422025.109007429</v>
      </c>
      <c r="I84" s="6"/>
      <c r="J84" s="6"/>
      <c r="K84" s="6">
        <f t="shared" si="4"/>
        <v>422025.109007429</v>
      </c>
      <c r="L84" s="6"/>
      <c r="M84" s="6">
        <f t="shared" si="5"/>
        <v>0</v>
      </c>
    </row>
    <row r="85" spans="1:13" ht="12.75">
      <c r="A85" s="5" t="s">
        <v>42</v>
      </c>
      <c r="E85" s="6">
        <f t="shared" si="2"/>
        <v>422025.1090074291</v>
      </c>
      <c r="G85" s="6"/>
      <c r="H85" s="6">
        <f t="shared" si="6"/>
        <v>422025.109007429</v>
      </c>
      <c r="I85" s="6"/>
      <c r="J85" s="6"/>
      <c r="K85" s="6">
        <f t="shared" si="4"/>
        <v>422025.109007429</v>
      </c>
      <c r="L85" s="6"/>
      <c r="M85" s="6">
        <f t="shared" si="5"/>
        <v>0</v>
      </c>
    </row>
    <row r="86" spans="1:13" ht="12.75">
      <c r="A86" s="5" t="s">
        <v>43</v>
      </c>
      <c r="E86" s="6">
        <f t="shared" si="2"/>
        <v>422025.1090074291</v>
      </c>
      <c r="G86" s="6"/>
      <c r="H86" s="6">
        <f t="shared" si="6"/>
        <v>422025.109007429</v>
      </c>
      <c r="I86" s="6"/>
      <c r="J86" s="6"/>
      <c r="K86" s="6">
        <f t="shared" si="4"/>
        <v>422025.109007429</v>
      </c>
      <c r="L86" s="6"/>
      <c r="M86" s="6">
        <f t="shared" si="5"/>
        <v>0</v>
      </c>
    </row>
    <row r="87" ht="12.75">
      <c r="H87" s="6">
        <f>E86-H86</f>
        <v>0</v>
      </c>
    </row>
    <row r="88" spans="5:10" ht="12.75">
      <c r="E88" s="6">
        <f>C4-E86</f>
        <v>-0.10900742909871042</v>
      </c>
      <c r="J88" s="6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O58"/>
  <sheetViews>
    <sheetView view="pageBreakPreview" zoomScaleNormal="85" zoomScaleSheetLayoutView="100" workbookViewId="0" topLeftCell="A29">
      <selection activeCell="H17" sqref="H17"/>
    </sheetView>
  </sheetViews>
  <sheetFormatPr defaultColWidth="9.140625" defaultRowHeight="12.75"/>
  <cols>
    <col min="1" max="1" width="20.28125" style="0" customWidth="1"/>
    <col min="2" max="2" width="13.00390625" style="0" bestFit="1" customWidth="1"/>
    <col min="3" max="3" width="15.421875" style="0" customWidth="1"/>
    <col min="4" max="4" width="15.00390625" style="0" customWidth="1"/>
    <col min="5" max="6" width="15.28125" style="0" customWidth="1"/>
    <col min="7" max="7" width="11.421875" style="0" bestFit="1" customWidth="1"/>
    <col min="8" max="9" width="11.421875" style="0" customWidth="1"/>
    <col min="10" max="10" width="12.8515625" style="0" customWidth="1"/>
    <col min="11" max="12" width="13.28125" style="0" customWidth="1"/>
    <col min="13" max="13" width="13.00390625" style="0" bestFit="1" customWidth="1"/>
    <col min="14" max="14" width="15.140625" style="0" customWidth="1"/>
    <col min="15" max="15" width="13.421875" style="0" bestFit="1" customWidth="1"/>
  </cols>
  <sheetData>
    <row r="2" spans="1:15" ht="54" customHeight="1">
      <c r="A2" s="162" t="s">
        <v>169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75"/>
      <c r="O2" s="76"/>
    </row>
    <row r="3" ht="15.75">
      <c r="A3" s="25"/>
    </row>
    <row r="4" spans="1:12" ht="15.75">
      <c r="A4" s="25" t="s">
        <v>181</v>
      </c>
      <c r="G4" s="25" t="s">
        <v>114</v>
      </c>
      <c r="K4" s="25"/>
      <c r="L4" s="25"/>
    </row>
    <row r="5" spans="1:12" ht="15.75">
      <c r="A5" t="s">
        <v>173</v>
      </c>
      <c r="B5" s="26">
        <f>H11</f>
        <v>5856394.6</v>
      </c>
      <c r="J5" s="25"/>
      <c r="K5" s="25"/>
      <c r="L5" s="25"/>
    </row>
    <row r="6" spans="1:2" ht="12.75">
      <c r="A6" t="s">
        <v>160</v>
      </c>
      <c r="B6" s="26">
        <f>'Priority Axis 2'!J10</f>
        <v>676151.2100000001</v>
      </c>
    </row>
    <row r="7" spans="1:12" ht="12.75">
      <c r="A7" s="137" t="s">
        <v>0</v>
      </c>
      <c r="B7" s="138"/>
      <c r="C7" s="138"/>
      <c r="D7" s="71"/>
      <c r="E7" s="70"/>
      <c r="F7" s="70"/>
      <c r="G7" s="31" t="s">
        <v>55</v>
      </c>
      <c r="H7" s="32"/>
      <c r="I7" s="32"/>
      <c r="J7" s="42"/>
      <c r="K7" s="32"/>
      <c r="L7" s="123"/>
    </row>
    <row r="8" spans="1:12" ht="82.5" customHeight="1">
      <c r="A8" s="86" t="s">
        <v>1</v>
      </c>
      <c r="B8" s="85" t="s">
        <v>127</v>
      </c>
      <c r="C8" s="85" t="s">
        <v>128</v>
      </c>
      <c r="D8" s="85" t="s">
        <v>162</v>
      </c>
      <c r="E8" s="16"/>
      <c r="F8" s="16"/>
      <c r="G8" s="33"/>
      <c r="H8" s="34" t="s">
        <v>56</v>
      </c>
      <c r="I8" s="35"/>
      <c r="J8" s="35" t="s">
        <v>149</v>
      </c>
      <c r="K8" s="36" t="s">
        <v>45</v>
      </c>
      <c r="L8" s="35"/>
    </row>
    <row r="9" spans="1:12" ht="15.75">
      <c r="A9" s="21"/>
      <c r="B9" s="22"/>
      <c r="C9" s="27"/>
      <c r="D9" s="30"/>
      <c r="E9" s="16"/>
      <c r="F9" s="16"/>
      <c r="G9" s="106" t="s">
        <v>104</v>
      </c>
      <c r="H9" s="107">
        <v>7358790</v>
      </c>
      <c r="I9" s="107"/>
      <c r="J9" s="108">
        <f>H9/$H$12</f>
        <v>0.5396111239648322</v>
      </c>
      <c r="K9" s="107">
        <f>J9*$B$6</f>
        <v>364858.71439828136</v>
      </c>
      <c r="L9" s="11"/>
    </row>
    <row r="10" spans="1:12" ht="12.75">
      <c r="A10" s="2">
        <v>2007</v>
      </c>
      <c r="B10" s="23">
        <v>3512400</v>
      </c>
      <c r="C10" s="28">
        <f aca="true" t="shared" si="0" ref="C10:C16">B10/$B$17</f>
        <v>0.07272574730188078</v>
      </c>
      <c r="D10" s="9">
        <f aca="true" t="shared" si="1" ref="D10:D16">C10*$B$5</f>
        <v>425910.67377969914</v>
      </c>
      <c r="E10" s="16"/>
      <c r="F10" s="16"/>
      <c r="G10" s="109" t="s">
        <v>105</v>
      </c>
      <c r="H10" s="100">
        <v>422025</v>
      </c>
      <c r="I10" s="100"/>
      <c r="J10" s="101">
        <f>H10/$H$12</f>
        <v>0.030946580156691293</v>
      </c>
      <c r="K10" s="102">
        <f>J10*$B$6</f>
        <v>20924.56761830881</v>
      </c>
      <c r="L10" s="124"/>
    </row>
    <row r="11" spans="1:12" ht="12.75">
      <c r="A11" s="2">
        <v>2008</v>
      </c>
      <c r="B11" s="23">
        <v>5141700</v>
      </c>
      <c r="C11" s="28">
        <f t="shared" si="0"/>
        <v>0.10646110206755506</v>
      </c>
      <c r="D11" s="9">
        <f t="shared" si="1"/>
        <v>623478.2232584782</v>
      </c>
      <c r="E11" s="16"/>
      <c r="F11" s="16"/>
      <c r="G11" s="109" t="s">
        <v>106</v>
      </c>
      <c r="H11" s="110">
        <v>5856394.6</v>
      </c>
      <c r="I11" s="110"/>
      <c r="J11" s="111">
        <f>H11/$H$12</f>
        <v>0.4294422958784765</v>
      </c>
      <c r="K11" s="102">
        <f>J11*$B$6</f>
        <v>290367.9279834099</v>
      </c>
      <c r="L11" s="124"/>
    </row>
    <row r="12" spans="1:12" ht="12.75">
      <c r="A12" s="2">
        <v>2009</v>
      </c>
      <c r="B12" s="23">
        <v>7001019</v>
      </c>
      <c r="C12" s="28">
        <f t="shared" si="0"/>
        <v>0.1449590988069884</v>
      </c>
      <c r="D12" s="9">
        <f t="shared" si="1"/>
        <v>848937.6834741132</v>
      </c>
      <c r="E12" s="16"/>
      <c r="F12" s="16"/>
      <c r="G12" s="92" t="s">
        <v>46</v>
      </c>
      <c r="H12" s="100">
        <f>SUM(H9:H11)</f>
        <v>13637209.6</v>
      </c>
      <c r="I12" s="100"/>
      <c r="J12" s="92"/>
      <c r="K12" s="102">
        <f>SUM(K9:K11)</f>
        <v>676151.2100000001</v>
      </c>
      <c r="L12" s="124"/>
    </row>
    <row r="13" spans="1:12" ht="12.75">
      <c r="A13" s="2">
        <v>2010</v>
      </c>
      <c r="B13" s="23">
        <v>7377256</v>
      </c>
      <c r="C13" s="28">
        <f t="shared" si="0"/>
        <v>0.1527492471350882</v>
      </c>
      <c r="D13" s="9">
        <f t="shared" si="1"/>
        <v>894559.866075996</v>
      </c>
      <c r="E13" s="16"/>
      <c r="F13" s="16"/>
      <c r="G13" s="16"/>
      <c r="H13" s="26"/>
      <c r="I13" s="26"/>
      <c r="J13" s="16"/>
      <c r="K13" s="112"/>
      <c r="L13" s="112"/>
    </row>
    <row r="14" spans="1:6" ht="12.75">
      <c r="A14" s="2">
        <v>2011</v>
      </c>
      <c r="B14" s="23">
        <v>7898065</v>
      </c>
      <c r="C14" s="28">
        <f t="shared" si="0"/>
        <v>0.16353282068210598</v>
      </c>
      <c r="D14" s="9">
        <f t="shared" si="1"/>
        <v>957712.7279654538</v>
      </c>
      <c r="E14" s="16"/>
      <c r="F14" s="16"/>
    </row>
    <row r="15" spans="1:6" ht="12.75">
      <c r="A15" s="2">
        <v>2012</v>
      </c>
      <c r="B15" s="23">
        <v>8421780</v>
      </c>
      <c r="C15" s="28">
        <f t="shared" si="0"/>
        <v>0.17437656420454206</v>
      </c>
      <c r="D15" s="9">
        <f t="shared" si="1"/>
        <v>1021217.9689740334</v>
      </c>
      <c r="E15" s="16"/>
      <c r="F15" s="16"/>
    </row>
    <row r="16" spans="1:6" ht="12.75">
      <c r="A16" s="2">
        <v>2013</v>
      </c>
      <c r="B16" s="23">
        <v>8944293</v>
      </c>
      <c r="C16" s="28">
        <f t="shared" si="0"/>
        <v>0.1851954198018395</v>
      </c>
      <c r="D16" s="9">
        <f t="shared" si="1"/>
        <v>1084577.456472226</v>
      </c>
      <c r="E16" s="16"/>
      <c r="F16" s="16"/>
    </row>
    <row r="17" spans="1:6" ht="12.75">
      <c r="A17" s="3" t="s">
        <v>3</v>
      </c>
      <c r="B17" s="24">
        <f>SUM(B10:B16)</f>
        <v>48296513</v>
      </c>
      <c r="C17" s="29"/>
      <c r="D17" s="10">
        <f>SUM(D10:D16)</f>
        <v>5856394.6</v>
      </c>
      <c r="E17" s="16"/>
      <c r="F17" s="16"/>
    </row>
    <row r="20" ht="15.75">
      <c r="A20" s="25" t="s">
        <v>174</v>
      </c>
    </row>
    <row r="21" spans="1:13" ht="51">
      <c r="A21" s="77" t="s">
        <v>4</v>
      </c>
      <c r="B21" s="78" t="s">
        <v>5</v>
      </c>
      <c r="C21" s="78" t="s">
        <v>6</v>
      </c>
      <c r="D21" s="78" t="s">
        <v>7</v>
      </c>
      <c r="E21" s="119" t="s">
        <v>182</v>
      </c>
      <c r="F21" s="119" t="s">
        <v>139</v>
      </c>
      <c r="G21" s="119" t="s">
        <v>138</v>
      </c>
      <c r="H21" s="119" t="s">
        <v>141</v>
      </c>
      <c r="I21" s="119" t="s">
        <v>142</v>
      </c>
      <c r="J21" s="119" t="s">
        <v>147</v>
      </c>
      <c r="K21" s="119" t="s">
        <v>183</v>
      </c>
      <c r="L21" s="119" t="s">
        <v>146</v>
      </c>
      <c r="M21" s="119" t="s">
        <v>144</v>
      </c>
    </row>
    <row r="22" spans="1:13" ht="12.75">
      <c r="A22" s="71"/>
      <c r="B22" s="79"/>
      <c r="C22" s="79"/>
      <c r="D22" s="79"/>
      <c r="E22" s="80"/>
      <c r="F22" s="80"/>
      <c r="G22" s="81"/>
      <c r="H22" s="81"/>
      <c r="I22" s="81"/>
      <c r="J22" s="81"/>
      <c r="K22" s="81"/>
      <c r="L22" s="81"/>
      <c r="M22" s="81"/>
    </row>
    <row r="23" spans="1:13" ht="12.75">
      <c r="A23" s="82" t="s">
        <v>8</v>
      </c>
      <c r="B23" s="83">
        <v>0</v>
      </c>
      <c r="C23" s="83">
        <v>0</v>
      </c>
      <c r="D23" s="83">
        <v>0</v>
      </c>
      <c r="E23" s="80">
        <v>0</v>
      </c>
      <c r="F23" s="80"/>
      <c r="G23" s="81">
        <f>'[1]Call AA'!E51</f>
        <v>0</v>
      </c>
      <c r="H23" s="81">
        <v>0</v>
      </c>
      <c r="I23" s="81"/>
      <c r="J23" s="81">
        <f>'[1]Call AA'!F51</f>
        <v>0</v>
      </c>
      <c r="K23" s="81">
        <v>0</v>
      </c>
      <c r="L23" s="81"/>
      <c r="M23" s="81">
        <f>'[1]Call AA'!G51</f>
        <v>0</v>
      </c>
    </row>
    <row r="24" spans="1:13" ht="12.75">
      <c r="A24" s="82" t="s">
        <v>9</v>
      </c>
      <c r="B24" s="83">
        <v>0</v>
      </c>
      <c r="C24" s="83">
        <v>0</v>
      </c>
      <c r="D24" s="83">
        <v>0</v>
      </c>
      <c r="E24" s="80">
        <v>0</v>
      </c>
      <c r="F24" s="80"/>
      <c r="G24" s="81">
        <f>'[1]Call AA'!E52</f>
        <v>0</v>
      </c>
      <c r="H24" s="81">
        <v>0</v>
      </c>
      <c r="I24" s="81"/>
      <c r="J24" s="81">
        <f>'[1]Call AA'!F52</f>
        <v>0</v>
      </c>
      <c r="K24" s="81">
        <v>0</v>
      </c>
      <c r="L24" s="81"/>
      <c r="M24" s="81">
        <f>'[1]Call AA'!G52</f>
        <v>0</v>
      </c>
    </row>
    <row r="25" spans="1:13" ht="12.75">
      <c r="A25" s="82" t="s">
        <v>10</v>
      </c>
      <c r="B25" s="83">
        <v>0</v>
      </c>
      <c r="C25" s="83">
        <v>0</v>
      </c>
      <c r="D25" s="83">
        <v>0</v>
      </c>
      <c r="E25" s="80">
        <v>0</v>
      </c>
      <c r="F25" s="80"/>
      <c r="G25" s="81">
        <f>'[1]Call AA'!E53</f>
        <v>0</v>
      </c>
      <c r="H25" s="81">
        <v>0</v>
      </c>
      <c r="I25" s="81"/>
      <c r="J25" s="81">
        <f>'[1]Call AA'!F53</f>
        <v>0</v>
      </c>
      <c r="K25" s="81">
        <v>0</v>
      </c>
      <c r="L25" s="81"/>
      <c r="M25" s="81">
        <f>'[1]Call AA'!G53</f>
        <v>0</v>
      </c>
    </row>
    <row r="26" spans="1:13" ht="12.75">
      <c r="A26" s="82" t="s">
        <v>11</v>
      </c>
      <c r="B26" s="83">
        <f>D10</f>
        <v>425910.67377969914</v>
      </c>
      <c r="C26" s="83">
        <v>0</v>
      </c>
      <c r="D26" s="83">
        <v>0</v>
      </c>
      <c r="E26" s="80">
        <v>0</v>
      </c>
      <c r="F26" s="80"/>
      <c r="G26" s="81">
        <f>'[1]Call AA'!E54</f>
        <v>0</v>
      </c>
      <c r="H26" s="81">
        <v>0</v>
      </c>
      <c r="I26" s="81"/>
      <c r="J26" s="81">
        <f>'[1]Call AA'!F54</f>
        <v>0</v>
      </c>
      <c r="K26" s="81">
        <v>0</v>
      </c>
      <c r="L26" s="81"/>
      <c r="M26" s="81">
        <f>'[1]Call AA'!G54</f>
        <v>0</v>
      </c>
    </row>
    <row r="27" spans="1:13" ht="12.75">
      <c r="A27" s="82" t="s">
        <v>12</v>
      </c>
      <c r="B27" s="83">
        <f>B26+D11</f>
        <v>1049388.8970381774</v>
      </c>
      <c r="C27" s="83">
        <v>0</v>
      </c>
      <c r="D27" s="83">
        <v>0</v>
      </c>
      <c r="E27" s="84">
        <v>0</v>
      </c>
      <c r="F27" s="84"/>
      <c r="G27" s="81">
        <v>0</v>
      </c>
      <c r="H27" s="81">
        <v>0</v>
      </c>
      <c r="I27" s="81"/>
      <c r="J27" s="81">
        <v>0</v>
      </c>
      <c r="K27" s="81">
        <v>0</v>
      </c>
      <c r="L27" s="81"/>
      <c r="M27" s="81">
        <v>0</v>
      </c>
    </row>
    <row r="28" spans="1:13" ht="12.75">
      <c r="A28" s="82" t="s">
        <v>13</v>
      </c>
      <c r="B28" s="83">
        <f>B27</f>
        <v>1049388.8970381774</v>
      </c>
      <c r="C28" s="83">
        <v>0</v>
      </c>
      <c r="D28" s="83">
        <v>0</v>
      </c>
      <c r="E28" s="84">
        <f>'Call 3.3'!E13</f>
        <v>0</v>
      </c>
      <c r="F28" s="84"/>
      <c r="G28" s="81">
        <f>'Call 3.3'!G56</f>
        <v>0</v>
      </c>
      <c r="H28" s="81">
        <f>'Call 3.3'!H57</f>
        <v>0</v>
      </c>
      <c r="I28" s="81"/>
      <c r="J28" s="81">
        <v>0</v>
      </c>
      <c r="K28" s="81"/>
      <c r="L28" s="81"/>
      <c r="M28" s="81"/>
    </row>
    <row r="29" spans="1:13" ht="12.75">
      <c r="A29" s="82" t="s">
        <v>14</v>
      </c>
      <c r="B29" s="83">
        <f>B28</f>
        <v>1049388.8970381774</v>
      </c>
      <c r="C29" s="83">
        <v>0</v>
      </c>
      <c r="D29" s="83">
        <v>0</v>
      </c>
      <c r="E29" s="84">
        <f>'Call 3.3'!E57</f>
        <v>2972650.997274814</v>
      </c>
      <c r="F29" s="84"/>
      <c r="G29" s="84">
        <f>'Call 3.3'!G57</f>
        <v>0</v>
      </c>
      <c r="H29" s="84">
        <f>'Call 3.3'!H57</f>
        <v>0</v>
      </c>
      <c r="I29" s="84"/>
      <c r="J29" s="84">
        <f>'Call 3.3'!J57</f>
        <v>0</v>
      </c>
      <c r="K29" s="84">
        <f>'Call 3.3'!K57</f>
        <v>0</v>
      </c>
      <c r="L29" s="84"/>
      <c r="M29" s="84">
        <f>'Call 3.3'!M57</f>
        <v>0</v>
      </c>
    </row>
    <row r="30" spans="1:13" ht="12.75">
      <c r="A30" s="82" t="s">
        <v>15</v>
      </c>
      <c r="B30" s="83">
        <f>B29</f>
        <v>1049388.8970381774</v>
      </c>
      <c r="C30" s="83">
        <v>0</v>
      </c>
      <c r="D30" s="83">
        <v>0</v>
      </c>
      <c r="E30" s="84">
        <f>'Call 3.3'!E58</f>
        <v>2972650.997274814</v>
      </c>
      <c r="F30" s="84"/>
      <c r="G30" s="84">
        <f>'Call 3.3'!G58</f>
        <v>0</v>
      </c>
      <c r="H30" s="84">
        <f>'Call 3.3'!H58</f>
        <v>0</v>
      </c>
      <c r="I30" s="84"/>
      <c r="J30" s="84">
        <f>'Call 3.3'!J58</f>
        <v>0</v>
      </c>
      <c r="K30" s="84">
        <f>'Call 3.3'!K58</f>
        <v>0</v>
      </c>
      <c r="L30" s="84"/>
      <c r="M30" s="84">
        <f>'Call 3.3'!M58</f>
        <v>0</v>
      </c>
    </row>
    <row r="31" spans="1:13" ht="12.75">
      <c r="A31" s="82" t="s">
        <v>16</v>
      </c>
      <c r="B31" s="83">
        <f>B30+D12</f>
        <v>1898326.5805122906</v>
      </c>
      <c r="C31" s="83">
        <v>0</v>
      </c>
      <c r="D31" s="83">
        <v>0</v>
      </c>
      <c r="E31" s="84">
        <f>'Call 3.3'!E59</f>
        <v>2972650.997274814</v>
      </c>
      <c r="F31" s="84"/>
      <c r="G31" s="84">
        <f>'Call 3.3'!G59</f>
        <v>0</v>
      </c>
      <c r="H31" s="84">
        <f>'Call 3.3'!H59</f>
        <v>594530.1994549629</v>
      </c>
      <c r="I31" s="84"/>
      <c r="J31" s="84">
        <f>'Call 3.3'!J59</f>
        <v>0</v>
      </c>
      <c r="K31" s="84">
        <f>'Call 3.3'!K59</f>
        <v>0</v>
      </c>
      <c r="L31" s="84"/>
      <c r="M31" s="84">
        <f>'Call 3.3'!M59</f>
        <v>0</v>
      </c>
    </row>
    <row r="32" spans="1:13" ht="12.75">
      <c r="A32" s="82" t="s">
        <v>17</v>
      </c>
      <c r="B32" s="83">
        <f>B31</f>
        <v>1898326.5805122906</v>
      </c>
      <c r="C32" s="83">
        <v>0</v>
      </c>
      <c r="D32" s="83">
        <v>0</v>
      </c>
      <c r="E32" s="84">
        <f>'Call 3.3'!E60</f>
        <v>2972650.997274814</v>
      </c>
      <c r="F32" s="84"/>
      <c r="G32" s="84">
        <f>'Call 3.3'!G60</f>
        <v>0</v>
      </c>
      <c r="H32" s="84">
        <f>'Call 3.3'!H60</f>
        <v>891795.2991824443</v>
      </c>
      <c r="I32" s="84"/>
      <c r="J32" s="84">
        <f>'Call 3.3'!J60</f>
        <v>0</v>
      </c>
      <c r="K32" s="84">
        <f>'Call 3.3'!K60</f>
        <v>0</v>
      </c>
      <c r="L32" s="84"/>
      <c r="M32" s="84">
        <f>'Call 3.3'!M60</f>
        <v>0</v>
      </c>
    </row>
    <row r="33" spans="1:13" ht="12.75">
      <c r="A33" s="82" t="s">
        <v>18</v>
      </c>
      <c r="B33" s="83">
        <f>B32</f>
        <v>1898326.5805122906</v>
      </c>
      <c r="C33" s="83">
        <v>0</v>
      </c>
      <c r="D33" s="83">
        <v>0</v>
      </c>
      <c r="E33" s="84">
        <f>'Call 3.3'!E61</f>
        <v>2972650.997274814</v>
      </c>
      <c r="F33" s="84"/>
      <c r="G33" s="84">
        <f>'Call 3.3'!G61</f>
        <v>0</v>
      </c>
      <c r="H33" s="84">
        <f>'Call 3.3'!H61</f>
        <v>1189060.3989099257</v>
      </c>
      <c r="I33" s="84"/>
      <c r="J33" s="84">
        <f>'Call 3.3'!J61</f>
        <v>0</v>
      </c>
      <c r="K33" s="84">
        <f>'Call 3.3'!K61</f>
        <v>594530.1994549629</v>
      </c>
      <c r="L33" s="84"/>
      <c r="M33" s="84">
        <f>'Call 3.3'!M61</f>
        <v>0</v>
      </c>
    </row>
    <row r="34" spans="1:13" ht="12.75">
      <c r="A34" s="82" t="s">
        <v>19</v>
      </c>
      <c r="B34" s="83">
        <f>B33</f>
        <v>1898326.5805122906</v>
      </c>
      <c r="C34" s="83">
        <v>0</v>
      </c>
      <c r="D34" s="83">
        <v>0</v>
      </c>
      <c r="E34" s="84">
        <f>'Call 3.3'!E62</f>
        <v>2972650.997274814</v>
      </c>
      <c r="F34" s="84"/>
      <c r="G34" s="84">
        <f>'Call 3.3'!G62</f>
        <v>0</v>
      </c>
      <c r="H34" s="84">
        <f>'Call 3.3'!H62</f>
        <v>1486325.498637407</v>
      </c>
      <c r="I34" s="84"/>
      <c r="J34" s="84">
        <f>'Call 3.3'!J62</f>
        <v>0</v>
      </c>
      <c r="K34" s="84">
        <f>'Call 3.3'!K62</f>
        <v>891795.2991824443</v>
      </c>
      <c r="L34" s="84"/>
      <c r="M34" s="84">
        <f>'Call 3.3'!M62</f>
        <v>0</v>
      </c>
    </row>
    <row r="35" spans="1:13" ht="12.75">
      <c r="A35" s="82" t="s">
        <v>20</v>
      </c>
      <c r="B35" s="83">
        <f>B34+D13</f>
        <v>2792886.4465882867</v>
      </c>
      <c r="C35" s="83">
        <v>0</v>
      </c>
      <c r="D35" s="83">
        <v>0</v>
      </c>
      <c r="E35" s="84">
        <f>'Call 3.3'!E63</f>
        <v>2972650.997274814</v>
      </c>
      <c r="F35" s="84"/>
      <c r="G35" s="84">
        <f>'Call 3.3'!G63</f>
        <v>0</v>
      </c>
      <c r="H35" s="84">
        <f>'Call 3.3'!H63</f>
        <v>1783590.5983648885</v>
      </c>
      <c r="I35" s="84"/>
      <c r="J35" s="84">
        <f>'Call 3.3'!J63</f>
        <v>0</v>
      </c>
      <c r="K35" s="84">
        <f>'Call 3.3'!K63</f>
        <v>1189060.3989099257</v>
      </c>
      <c r="L35" s="84"/>
      <c r="M35" s="84">
        <f>'Call 3.3'!M63</f>
        <v>0</v>
      </c>
    </row>
    <row r="36" spans="1:13" ht="12.75">
      <c r="A36" s="82" t="s">
        <v>21</v>
      </c>
      <c r="B36" s="83">
        <f>B35</f>
        <v>2792886.4465882867</v>
      </c>
      <c r="C36" s="83">
        <v>0</v>
      </c>
      <c r="D36" s="83">
        <v>0</v>
      </c>
      <c r="E36" s="84">
        <f>'Call 3.3'!E64</f>
        <v>2972650.997274814</v>
      </c>
      <c r="F36" s="84"/>
      <c r="G36" s="84">
        <f>'Call 3.3'!G64</f>
        <v>0</v>
      </c>
      <c r="H36" s="84">
        <f>'Call 3.3'!H64</f>
        <v>2080855.6980923698</v>
      </c>
      <c r="I36" s="84"/>
      <c r="J36" s="84">
        <f>'Call 3.3'!J64</f>
        <v>0</v>
      </c>
      <c r="K36" s="84">
        <f>'Call 3.3'!K64</f>
        <v>1486325.498637407</v>
      </c>
      <c r="L36" s="84"/>
      <c r="M36" s="84">
        <f>'Call 3.3'!M64</f>
        <v>0</v>
      </c>
    </row>
    <row r="37" spans="1:13" ht="12.75">
      <c r="A37" s="82" t="s">
        <v>22</v>
      </c>
      <c r="B37" s="83">
        <f>B36</f>
        <v>2792886.4465882867</v>
      </c>
      <c r="C37" s="83">
        <v>0</v>
      </c>
      <c r="D37" s="83">
        <v>0</v>
      </c>
      <c r="E37" s="84">
        <f>'Call 3.3'!E65</f>
        <v>2972650.997274814</v>
      </c>
      <c r="F37" s="84"/>
      <c r="G37" s="84">
        <f>'Call 3.3'!G65</f>
        <v>0</v>
      </c>
      <c r="H37" s="84">
        <f>'Call 3.3'!H65</f>
        <v>2378120.7978198514</v>
      </c>
      <c r="I37" s="84"/>
      <c r="J37" s="84">
        <f>'Call 3.3'!J65</f>
        <v>0</v>
      </c>
      <c r="K37" s="84">
        <f>'Call 3.3'!K65</f>
        <v>1783590.5983648885</v>
      </c>
      <c r="L37" s="84"/>
      <c r="M37" s="84">
        <f>'Call 3.3'!M65</f>
        <v>0</v>
      </c>
    </row>
    <row r="38" spans="1:13" ht="12.75">
      <c r="A38" s="82" t="s">
        <v>23</v>
      </c>
      <c r="B38" s="83">
        <f>B37</f>
        <v>2792886.4465882867</v>
      </c>
      <c r="C38" s="83">
        <f>B26</f>
        <v>425910.67377969914</v>
      </c>
      <c r="D38" s="83">
        <f>C38-$K$11</f>
        <v>135542.74579628924</v>
      </c>
      <c r="E38" s="84">
        <f>'Call 3.3'!E66</f>
        <v>2972650.997274814</v>
      </c>
      <c r="F38" s="84"/>
      <c r="G38" s="84">
        <f>'Call 3.3'!G66</f>
        <v>0</v>
      </c>
      <c r="H38" s="84">
        <f>'Call 3.3'!H66</f>
        <v>2378120.7978198514</v>
      </c>
      <c r="I38" s="84"/>
      <c r="J38" s="84">
        <f>'Call 3.3'!J66</f>
        <v>0</v>
      </c>
      <c r="K38" s="84">
        <f>'Call 3.3'!K66</f>
        <v>2080855.6980923698</v>
      </c>
      <c r="L38" s="84"/>
      <c r="M38" s="84">
        <f>'Call 3.3'!M66</f>
        <v>0</v>
      </c>
    </row>
    <row r="39" spans="1:13" ht="12.75">
      <c r="A39" s="82" t="s">
        <v>24</v>
      </c>
      <c r="B39" s="83">
        <f>B38+D14</f>
        <v>3750599.1745537403</v>
      </c>
      <c r="C39" s="83">
        <f>C38</f>
        <v>425910.67377969914</v>
      </c>
      <c r="D39" s="83">
        <f aca="true" t="shared" si="2" ref="D39:D57">C39-$K$11</f>
        <v>135542.74579628924</v>
      </c>
      <c r="E39" s="84">
        <f>'Call 3.3'!E67</f>
        <v>5741003.077977125</v>
      </c>
      <c r="F39" s="84"/>
      <c r="G39" s="84">
        <f>'Call 3.3'!G67</f>
        <v>0</v>
      </c>
      <c r="H39" s="84">
        <f>'Call 3.3'!H67</f>
        <v>2378120.7978198514</v>
      </c>
      <c r="I39" s="84"/>
      <c r="J39" s="84">
        <f>'Call 3.3'!J67</f>
        <v>0</v>
      </c>
      <c r="K39" s="84">
        <f>'Call 3.3'!K67</f>
        <v>2378120.7978198514</v>
      </c>
      <c r="L39" s="84"/>
      <c r="M39" s="84">
        <f>'Call 3.3'!M67</f>
        <v>0</v>
      </c>
    </row>
    <row r="40" spans="1:13" ht="12.75">
      <c r="A40" s="82" t="s">
        <v>25</v>
      </c>
      <c r="B40" s="83">
        <f>B39</f>
        <v>3750599.1745537403</v>
      </c>
      <c r="C40" s="83">
        <f>C39</f>
        <v>425910.67377969914</v>
      </c>
      <c r="D40" s="83">
        <f t="shared" si="2"/>
        <v>135542.74579628924</v>
      </c>
      <c r="E40" s="84">
        <f>'Call 3.3'!E68</f>
        <v>5741003.077977125</v>
      </c>
      <c r="F40" s="84"/>
      <c r="G40" s="84">
        <f>'Call 3.3'!G68</f>
        <v>0</v>
      </c>
      <c r="H40" s="84">
        <f>'Call 3.3'!H68</f>
        <v>2972650.997274814</v>
      </c>
      <c r="I40" s="84"/>
      <c r="J40" s="84">
        <f>'Call 3.3'!J68</f>
        <v>0</v>
      </c>
      <c r="K40" s="84">
        <f>'Call 3.3'!K68</f>
        <v>2378120.7978198514</v>
      </c>
      <c r="L40" s="84"/>
      <c r="M40" s="84">
        <f>'Call 3.3'!M68</f>
        <v>0</v>
      </c>
    </row>
    <row r="41" spans="1:13" ht="12.75">
      <c r="A41" s="82" t="s">
        <v>26</v>
      </c>
      <c r="B41" s="83">
        <f>B40</f>
        <v>3750599.1745537403</v>
      </c>
      <c r="C41" s="83">
        <f>C40</f>
        <v>425910.67377969914</v>
      </c>
      <c r="D41" s="83">
        <f t="shared" si="2"/>
        <v>135542.74579628924</v>
      </c>
      <c r="E41" s="84">
        <f>'Call 3.3'!E69</f>
        <v>5741003.077977125</v>
      </c>
      <c r="F41" s="84"/>
      <c r="G41" s="84">
        <f>'Call 3.3'!G69</f>
        <v>0</v>
      </c>
      <c r="H41" s="84">
        <f>'Call 3.3'!H69</f>
        <v>3526321.4134152764</v>
      </c>
      <c r="I41" s="84"/>
      <c r="J41" s="84">
        <f>'Call 3.3'!J69</f>
        <v>0</v>
      </c>
      <c r="K41" s="84">
        <f>'Call 3.3'!K69</f>
        <v>2378120.7978198514</v>
      </c>
      <c r="L41" s="84"/>
      <c r="M41" s="84">
        <f>'Call 3.3'!M69</f>
        <v>0</v>
      </c>
    </row>
    <row r="42" spans="1:13" ht="12.75">
      <c r="A42" s="82" t="s">
        <v>27</v>
      </c>
      <c r="B42" s="83">
        <f>B41</f>
        <v>3750599.1745537403</v>
      </c>
      <c r="C42" s="83">
        <f>B27</f>
        <v>1049388.8970381774</v>
      </c>
      <c r="D42" s="83">
        <f t="shared" si="2"/>
        <v>759020.9690547674</v>
      </c>
      <c r="E42" s="84">
        <f>'Call 3.3'!E70</f>
        <v>5741003.077977125</v>
      </c>
      <c r="F42" s="84"/>
      <c r="G42" s="84">
        <f>'Call 3.3'!G70</f>
        <v>0</v>
      </c>
      <c r="H42" s="84">
        <f>'Call 3.3'!H70</f>
        <v>3526321.4134152764</v>
      </c>
      <c r="I42" s="84"/>
      <c r="J42" s="84">
        <f>'Call 3.3'!J70</f>
        <v>0</v>
      </c>
      <c r="K42" s="84">
        <f>'Call 3.3'!K70</f>
        <v>2972650.997274814</v>
      </c>
      <c r="L42" s="84"/>
      <c r="M42" s="84">
        <f>'Call 3.3'!M70</f>
        <v>0</v>
      </c>
    </row>
    <row r="43" spans="1:13" ht="12.75">
      <c r="A43" s="82" t="s">
        <v>28</v>
      </c>
      <c r="B43" s="83">
        <f>B42+D15</f>
        <v>4771817.143527774</v>
      </c>
      <c r="C43" s="83">
        <f>C42</f>
        <v>1049388.8970381774</v>
      </c>
      <c r="D43" s="83">
        <f t="shared" si="2"/>
        <v>759020.9690547674</v>
      </c>
      <c r="E43" s="84">
        <f>'Call 3.3'!E71</f>
        <v>5741003.077977125</v>
      </c>
      <c r="F43" s="84"/>
      <c r="G43" s="84">
        <f>'Call 3.3'!G71</f>
        <v>0</v>
      </c>
      <c r="H43" s="84">
        <f>'Call 3.3'!H71</f>
        <v>3526321.4134152764</v>
      </c>
      <c r="I43" s="84"/>
      <c r="J43" s="84">
        <f>'Call 3.3'!J71</f>
        <v>0</v>
      </c>
      <c r="K43" s="84">
        <f>'Call 3.3'!K71</f>
        <v>3526321.4134152764</v>
      </c>
      <c r="L43" s="84"/>
      <c r="M43" s="84">
        <f>'Call 3.3'!M71</f>
        <v>0</v>
      </c>
    </row>
    <row r="44" spans="1:13" ht="12.75">
      <c r="A44" s="82" t="s">
        <v>29</v>
      </c>
      <c r="B44" s="83">
        <f>B43</f>
        <v>4771817.143527774</v>
      </c>
      <c r="C44" s="83">
        <f>C43</f>
        <v>1049388.8970381774</v>
      </c>
      <c r="D44" s="83">
        <f t="shared" si="2"/>
        <v>759020.9690547674</v>
      </c>
      <c r="E44" s="84">
        <f>'Call 3.3'!E72</f>
        <v>5741003.077977125</v>
      </c>
      <c r="F44" s="84"/>
      <c r="G44" s="84">
        <f>'Call 3.3'!G72</f>
        <v>0</v>
      </c>
      <c r="H44" s="84">
        <f>'Call 3.3'!H72</f>
        <v>4218409.433590854</v>
      </c>
      <c r="I44" s="84"/>
      <c r="J44" s="84">
        <f>'Call 3.3'!J72</f>
        <v>0</v>
      </c>
      <c r="K44" s="84">
        <f>'Call 3.3'!K72</f>
        <v>3526321.4134152764</v>
      </c>
      <c r="L44" s="84"/>
      <c r="M44" s="84">
        <f>'Call 3.3'!M72</f>
        <v>0</v>
      </c>
    </row>
    <row r="45" spans="1:13" ht="12.75">
      <c r="A45" s="82" t="s">
        <v>30</v>
      </c>
      <c r="B45" s="83">
        <f>B44</f>
        <v>4771817.143527774</v>
      </c>
      <c r="C45" s="83">
        <f>C44</f>
        <v>1049388.8970381774</v>
      </c>
      <c r="D45" s="83">
        <f t="shared" si="2"/>
        <v>759020.9690547674</v>
      </c>
      <c r="E45" s="84">
        <f>'Call 3.3'!E73</f>
        <v>5741003.077977125</v>
      </c>
      <c r="F45" s="84"/>
      <c r="G45" s="84">
        <f>'Call 3.3'!G73</f>
        <v>0</v>
      </c>
      <c r="H45" s="84">
        <f>'Call 3.3'!H73</f>
        <v>4218409.433590854</v>
      </c>
      <c r="I45" s="84"/>
      <c r="J45" s="84">
        <f>'Call 3.3'!J73</f>
        <v>0</v>
      </c>
      <c r="K45" s="84">
        <f>'Call 3.3'!K73</f>
        <v>3526321.4134152764</v>
      </c>
      <c r="L45" s="84"/>
      <c r="M45" s="84">
        <f>'Call 3.3'!M73</f>
        <v>0</v>
      </c>
    </row>
    <row r="46" spans="1:13" ht="12.75">
      <c r="A46" s="82" t="s">
        <v>31</v>
      </c>
      <c r="B46" s="83">
        <f>B45</f>
        <v>4771817.143527774</v>
      </c>
      <c r="C46" s="83">
        <f>B34</f>
        <v>1898326.5805122906</v>
      </c>
      <c r="D46" s="83">
        <f t="shared" si="2"/>
        <v>1607958.6525288806</v>
      </c>
      <c r="E46" s="84">
        <f>'Call 3.3'!E74</f>
        <v>5741003.077977125</v>
      </c>
      <c r="F46" s="84"/>
      <c r="G46" s="84">
        <f>'Call 3.3'!G74</f>
        <v>0</v>
      </c>
      <c r="H46" s="84">
        <f>'Call 3.3'!H74</f>
        <v>4218409.433590854</v>
      </c>
      <c r="I46" s="84"/>
      <c r="J46" s="84">
        <f>'Call 3.3'!J74</f>
        <v>0</v>
      </c>
      <c r="K46" s="84">
        <f>'Call 3.3'!K74</f>
        <v>4218409.433590854</v>
      </c>
      <c r="L46" s="84"/>
      <c r="M46" s="84">
        <f>'Call 3.3'!M74</f>
        <v>0</v>
      </c>
    </row>
    <row r="47" spans="1:13" ht="12.75">
      <c r="A47" s="82" t="s">
        <v>32</v>
      </c>
      <c r="B47" s="83">
        <f>B46+D16</f>
        <v>5856394.6</v>
      </c>
      <c r="C47" s="83">
        <f>C46</f>
        <v>1898326.5805122906</v>
      </c>
      <c r="D47" s="83">
        <f t="shared" si="2"/>
        <v>1607958.6525288806</v>
      </c>
      <c r="E47" s="84">
        <f>'Call 3.3'!E75</f>
        <v>5856394.827977125</v>
      </c>
      <c r="F47" s="84"/>
      <c r="G47" s="84">
        <f>'Call 3.3'!G75</f>
        <v>0</v>
      </c>
      <c r="H47" s="84">
        <f>'Call 3.3'!H75</f>
        <v>4772079.849731316</v>
      </c>
      <c r="I47" s="84"/>
      <c r="J47" s="84">
        <f>'Call 3.3'!J75</f>
        <v>0</v>
      </c>
      <c r="K47" s="84">
        <f>'Call 3.3'!K75</f>
        <v>4218409.433590854</v>
      </c>
      <c r="L47" s="84"/>
      <c r="M47" s="84">
        <f>'Call 3.3'!M75</f>
        <v>0</v>
      </c>
    </row>
    <row r="48" spans="1:13" ht="12.75">
      <c r="A48" s="82" t="s">
        <v>33</v>
      </c>
      <c r="B48" s="83">
        <f aca="true" t="shared" si="3" ref="B48:B58">$B$47</f>
        <v>5856394.6</v>
      </c>
      <c r="C48" s="83">
        <f>C47</f>
        <v>1898326.5805122906</v>
      </c>
      <c r="D48" s="83">
        <f t="shared" si="2"/>
        <v>1607958.6525288806</v>
      </c>
      <c r="E48" s="84">
        <f>'Call 3.3'!E76</f>
        <v>5856394.827977125</v>
      </c>
      <c r="F48" s="84"/>
      <c r="G48" s="84">
        <f>'Call 3.3'!G76</f>
        <v>0</v>
      </c>
      <c r="H48" s="84">
        <f>'Call 3.3'!H76</f>
        <v>4772079.849731316</v>
      </c>
      <c r="I48" s="84"/>
      <c r="J48" s="84">
        <f>'Call 3.3'!J76</f>
        <v>0</v>
      </c>
      <c r="K48" s="84">
        <f>'Call 3.3'!K76</f>
        <v>4218409.433590854</v>
      </c>
      <c r="L48" s="84"/>
      <c r="M48" s="84">
        <f>'Call 3.3'!M76</f>
        <v>0</v>
      </c>
    </row>
    <row r="49" spans="1:13" ht="12.75">
      <c r="A49" s="82" t="s">
        <v>34</v>
      </c>
      <c r="B49" s="83">
        <f t="shared" si="3"/>
        <v>5856394.6</v>
      </c>
      <c r="C49" s="83">
        <f>C48</f>
        <v>1898326.5805122906</v>
      </c>
      <c r="D49" s="83">
        <f t="shared" si="2"/>
        <v>1607958.6525288806</v>
      </c>
      <c r="E49" s="84">
        <f>'Call 3.3'!E77</f>
        <v>5856394.827977125</v>
      </c>
      <c r="F49" s="84"/>
      <c r="G49" s="84">
        <f>'Call 3.3'!G77</f>
        <v>0</v>
      </c>
      <c r="H49" s="84">
        <f>'Call 3.3'!H77</f>
        <v>4772079.849731316</v>
      </c>
      <c r="I49" s="84"/>
      <c r="J49" s="84">
        <f>'Call 3.3'!J77</f>
        <v>0</v>
      </c>
      <c r="K49" s="84">
        <f>'Call 3.3'!K77</f>
        <v>4772079.849731316</v>
      </c>
      <c r="L49" s="84"/>
      <c r="M49" s="84">
        <f>'Call 3.3'!M77</f>
        <v>0</v>
      </c>
    </row>
    <row r="50" spans="1:13" ht="12.75">
      <c r="A50" s="82" t="s">
        <v>35</v>
      </c>
      <c r="B50" s="83">
        <f t="shared" si="3"/>
        <v>5856394.6</v>
      </c>
      <c r="C50" s="83">
        <f>B35+D14</f>
        <v>3750599.1745537403</v>
      </c>
      <c r="D50" s="83">
        <f t="shared" si="2"/>
        <v>3460231.2465703306</v>
      </c>
      <c r="E50" s="84">
        <f>'Call 3.3'!E78</f>
        <v>5856394.827977125</v>
      </c>
      <c r="F50" s="84"/>
      <c r="G50" s="84">
        <f>'Call 3.3'!G78</f>
        <v>0</v>
      </c>
      <c r="H50" s="84">
        <f>'Call 3.3'!H78</f>
        <v>5302724.411836662</v>
      </c>
      <c r="I50" s="84"/>
      <c r="J50" s="84">
        <f>'Call 3.3'!J78</f>
        <v>0</v>
      </c>
      <c r="K50" s="84">
        <f>'Call 3.3'!K78</f>
        <v>4772079.849731316</v>
      </c>
      <c r="L50" s="84"/>
      <c r="M50" s="84">
        <f>'Call 3.3'!M78</f>
        <v>0</v>
      </c>
    </row>
    <row r="51" spans="1:13" ht="12.75">
      <c r="A51" s="82" t="s">
        <v>36</v>
      </c>
      <c r="B51" s="83">
        <f t="shared" si="3"/>
        <v>5856394.6</v>
      </c>
      <c r="C51" s="83">
        <f>C50</f>
        <v>3750599.1745537403</v>
      </c>
      <c r="D51" s="83">
        <f t="shared" si="2"/>
        <v>3460231.2465703306</v>
      </c>
      <c r="E51" s="84">
        <f>'Call 3.3'!E79</f>
        <v>5856394.827977125</v>
      </c>
      <c r="F51" s="84"/>
      <c r="G51" s="84">
        <f>'Call 3.3'!G79</f>
        <v>0</v>
      </c>
      <c r="H51" s="84">
        <f>'Call 3.3'!H79</f>
        <v>5302724.411836662</v>
      </c>
      <c r="I51" s="84"/>
      <c r="J51" s="84">
        <f>'Call 3.3'!J79</f>
        <v>0</v>
      </c>
      <c r="K51" s="84">
        <f>'Call 3.3'!K79</f>
        <v>4772079.849731316</v>
      </c>
      <c r="L51" s="84"/>
      <c r="M51" s="84">
        <f>'Call 3.3'!M79</f>
        <v>0</v>
      </c>
    </row>
    <row r="52" spans="1:13" ht="12.75">
      <c r="A52" s="82" t="s">
        <v>37</v>
      </c>
      <c r="B52" s="83">
        <f t="shared" si="3"/>
        <v>5856394.6</v>
      </c>
      <c r="C52" s="83">
        <f>C51</f>
        <v>3750599.1745537403</v>
      </c>
      <c r="D52" s="83">
        <f t="shared" si="2"/>
        <v>3460231.2465703306</v>
      </c>
      <c r="E52" s="84">
        <f>'Call 3.3'!E80</f>
        <v>5856394.827977125</v>
      </c>
      <c r="F52" s="84"/>
      <c r="G52" s="84">
        <f>'Call 3.3'!G80</f>
        <v>0</v>
      </c>
      <c r="H52" s="84">
        <f>'Call 3.3'!H80</f>
        <v>5302724.411836662</v>
      </c>
      <c r="I52" s="84"/>
      <c r="J52" s="84">
        <f>'Call 3.3'!J80</f>
        <v>0</v>
      </c>
      <c r="K52" s="84">
        <f>'Call 3.3'!K80</f>
        <v>5302724.411836662</v>
      </c>
      <c r="L52" s="84"/>
      <c r="M52" s="84">
        <f>'Call 3.3'!M80</f>
        <v>0</v>
      </c>
    </row>
    <row r="53" spans="1:13" ht="12.75">
      <c r="A53" s="82" t="s">
        <v>38</v>
      </c>
      <c r="B53" s="83">
        <f t="shared" si="3"/>
        <v>5856394.6</v>
      </c>
      <c r="C53" s="83">
        <f>C52</f>
        <v>3750599.1745537403</v>
      </c>
      <c r="D53" s="83">
        <f t="shared" si="2"/>
        <v>3460231.2465703306</v>
      </c>
      <c r="E53" s="84">
        <f>'Call 3.3'!E81</f>
        <v>5856394.827977125</v>
      </c>
      <c r="F53" s="84"/>
      <c r="G53" s="84">
        <f>'Call 3.3'!G81</f>
        <v>0</v>
      </c>
      <c r="H53" s="84">
        <f>'Call 3.3'!H81</f>
        <v>5856394.827977125</v>
      </c>
      <c r="I53" s="84"/>
      <c r="J53" s="84">
        <f>'Call 3.3'!J81</f>
        <v>0</v>
      </c>
      <c r="K53" s="84">
        <f>'Call 3.3'!K81</f>
        <v>5302724.411836662</v>
      </c>
      <c r="L53" s="84"/>
      <c r="M53" s="84">
        <f>'Call 3.3'!M81</f>
        <v>0</v>
      </c>
    </row>
    <row r="54" spans="1:13" ht="12.75">
      <c r="A54" s="82" t="s">
        <v>39</v>
      </c>
      <c r="B54" s="83">
        <f t="shared" si="3"/>
        <v>5856394.6</v>
      </c>
      <c r="C54" s="83">
        <f>B46</f>
        <v>4771817.143527774</v>
      </c>
      <c r="D54" s="83">
        <f t="shared" si="2"/>
        <v>4481449.215544364</v>
      </c>
      <c r="E54" s="84">
        <f>'Call 3.3'!E82</f>
        <v>5856394.827977125</v>
      </c>
      <c r="F54" s="84"/>
      <c r="G54" s="84">
        <f>'Call 3.3'!G82</f>
        <v>0</v>
      </c>
      <c r="H54" s="84">
        <f>'Call 3.3'!H82</f>
        <v>5856394.827977125</v>
      </c>
      <c r="I54" s="84"/>
      <c r="J54" s="84">
        <f>'Call 3.3'!J82</f>
        <v>0</v>
      </c>
      <c r="K54" s="84">
        <f>'Call 3.3'!K82</f>
        <v>5302724.411836662</v>
      </c>
      <c r="L54" s="84"/>
      <c r="M54" s="84">
        <f>'Call 3.3'!M82</f>
        <v>0</v>
      </c>
    </row>
    <row r="55" spans="1:13" ht="12.75">
      <c r="A55" s="82" t="s">
        <v>40</v>
      </c>
      <c r="B55" s="83">
        <f t="shared" si="3"/>
        <v>5856394.6</v>
      </c>
      <c r="C55" s="83">
        <f>C54</f>
        <v>4771817.143527774</v>
      </c>
      <c r="D55" s="83">
        <f t="shared" si="2"/>
        <v>4481449.215544364</v>
      </c>
      <c r="E55" s="84">
        <f>'Call 3.3'!E83</f>
        <v>5856394.827977125</v>
      </c>
      <c r="F55" s="84"/>
      <c r="G55" s="84">
        <f>'Call 3.3'!G83</f>
        <v>0</v>
      </c>
      <c r="H55" s="84">
        <f>'Call 3.3'!H83</f>
        <v>5856394.827977125</v>
      </c>
      <c r="I55" s="84"/>
      <c r="J55" s="84">
        <f>'Call 3.3'!J83</f>
        <v>0</v>
      </c>
      <c r="K55" s="84">
        <f>'Call 3.3'!K83</f>
        <v>5856394.827977125</v>
      </c>
      <c r="L55" s="84"/>
      <c r="M55" s="84">
        <f>'Call 3.3'!M83</f>
        <v>0</v>
      </c>
    </row>
    <row r="56" spans="1:13" ht="12.75">
      <c r="A56" s="82" t="s">
        <v>41</v>
      </c>
      <c r="B56" s="83">
        <f t="shared" si="3"/>
        <v>5856394.6</v>
      </c>
      <c r="C56" s="83">
        <f>C55</f>
        <v>4771817.143527774</v>
      </c>
      <c r="D56" s="83">
        <f t="shared" si="2"/>
        <v>4481449.215544364</v>
      </c>
      <c r="E56" s="84">
        <f>'Call 3.3'!E84</f>
        <v>5856394.827977125</v>
      </c>
      <c r="F56" s="84"/>
      <c r="G56" s="84">
        <f>'Call 3.3'!G84</f>
        <v>0</v>
      </c>
      <c r="H56" s="84">
        <f>'Call 3.3'!H84</f>
        <v>5856394.827977125</v>
      </c>
      <c r="I56" s="84"/>
      <c r="J56" s="84">
        <f>'Call 3.3'!J84</f>
        <v>0</v>
      </c>
      <c r="K56" s="84">
        <f>'Call 3.3'!K84</f>
        <v>5856394.827977125</v>
      </c>
      <c r="L56" s="84"/>
      <c r="M56" s="84">
        <f>'Call 3.3'!M84</f>
        <v>0</v>
      </c>
    </row>
    <row r="57" spans="1:13" ht="12.75">
      <c r="A57" s="82" t="s">
        <v>42</v>
      </c>
      <c r="B57" s="83">
        <f t="shared" si="3"/>
        <v>5856394.6</v>
      </c>
      <c r="C57" s="83">
        <f>C56</f>
        <v>4771817.143527774</v>
      </c>
      <c r="D57" s="83">
        <f t="shared" si="2"/>
        <v>4481449.215544364</v>
      </c>
      <c r="E57" s="84">
        <f>'Call 3.3'!E85</f>
        <v>5856394.827977125</v>
      </c>
      <c r="F57" s="84"/>
      <c r="G57" s="84">
        <f>'Call 3.3'!G85</f>
        <v>0</v>
      </c>
      <c r="H57" s="84">
        <f>'Call 3.3'!H85</f>
        <v>5856394.827977125</v>
      </c>
      <c r="I57" s="84"/>
      <c r="J57" s="84">
        <f>'Call 3.3'!J85</f>
        <v>0</v>
      </c>
      <c r="K57" s="84">
        <f>'Call 3.3'!K85</f>
        <v>5856394.827977125</v>
      </c>
      <c r="L57" s="84"/>
      <c r="M57" s="84">
        <f>'Call 3.3'!M85</f>
        <v>0</v>
      </c>
    </row>
    <row r="58" spans="1:13" ht="12.75">
      <c r="A58" s="82" t="s">
        <v>43</v>
      </c>
      <c r="B58" s="83">
        <f t="shared" si="3"/>
        <v>5856394.6</v>
      </c>
      <c r="C58" s="83">
        <f>B47</f>
        <v>5856394.6</v>
      </c>
      <c r="D58" s="83">
        <f>C58</f>
        <v>5856394.6</v>
      </c>
      <c r="E58" s="84">
        <f>'Call 3.3'!E86</f>
        <v>5856394.827977125</v>
      </c>
      <c r="F58" s="84"/>
      <c r="G58" s="84">
        <f>'Call 3.3'!G86</f>
        <v>0</v>
      </c>
      <c r="H58" s="84">
        <f>'Call 3.3'!H86</f>
        <v>5856394.827977125</v>
      </c>
      <c r="I58" s="84"/>
      <c r="J58" s="84">
        <f>'Call 3.3'!J86</f>
        <v>0</v>
      </c>
      <c r="K58" s="84">
        <f>'Call 3.3'!K86</f>
        <v>5856394.827977125</v>
      </c>
      <c r="L58" s="84"/>
      <c r="M58" s="84">
        <f>'Call 3.3'!M86</f>
        <v>0</v>
      </c>
    </row>
  </sheetData>
  <mergeCells count="2">
    <mergeCell ref="A7:C7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  <colBreaks count="1" manualBreakCount="1">
    <brk id="13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115" workbookViewId="0" topLeftCell="B1">
      <selection activeCell="H17" sqref="H1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customWidth="1"/>
    <col min="6" max="6" width="12.140625" style="0" customWidth="1"/>
    <col min="7" max="7" width="15.7109375" style="0" customWidth="1"/>
    <col min="8" max="9" width="12.57421875" style="0" customWidth="1"/>
    <col min="10" max="12" width="13.00390625" style="0" customWidth="1"/>
    <col min="13" max="13" width="13.421875" style="0" customWidth="1"/>
  </cols>
  <sheetData>
    <row r="1" spans="1:13" ht="22.5" customHeight="1">
      <c r="A1" s="157" t="s">
        <v>170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22.5" customHeight="1">
      <c r="A2" s="154" t="s">
        <v>63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4" spans="1:3" ht="12.75">
      <c r="A4" t="s">
        <v>148</v>
      </c>
      <c r="B4" s="14"/>
      <c r="C4" s="6">
        <f>'IM 3.3'!B5</f>
        <v>5856394.6</v>
      </c>
    </row>
    <row r="6" ht="12.75">
      <c r="A6" t="s">
        <v>57</v>
      </c>
    </row>
    <row r="7" spans="1:13" ht="45" customHeight="1">
      <c r="A7" s="4" t="s">
        <v>4</v>
      </c>
      <c r="B7" s="4" t="s">
        <v>5</v>
      </c>
      <c r="C7" s="4" t="s">
        <v>6</v>
      </c>
      <c r="D7" s="4" t="s">
        <v>7</v>
      </c>
      <c r="E7" s="12" t="s">
        <v>137</v>
      </c>
      <c r="F7" s="12" t="s">
        <v>139</v>
      </c>
      <c r="G7" s="12" t="s">
        <v>138</v>
      </c>
      <c r="H7" s="12" t="s">
        <v>141</v>
      </c>
      <c r="I7" s="12" t="s">
        <v>142</v>
      </c>
      <c r="J7" s="12" t="s">
        <v>147</v>
      </c>
      <c r="K7" s="12" t="s">
        <v>145</v>
      </c>
      <c r="L7" s="12" t="s">
        <v>146</v>
      </c>
      <c r="M7" s="12" t="s">
        <v>144</v>
      </c>
    </row>
    <row r="8" spans="1:13" ht="12.75">
      <c r="A8" s="5" t="s">
        <v>8</v>
      </c>
      <c r="B8" s="6"/>
      <c r="C8" s="6"/>
      <c r="D8" s="6"/>
      <c r="E8" s="6"/>
      <c r="F8" s="6"/>
      <c r="G8" s="45">
        <v>0</v>
      </c>
      <c r="H8" s="45"/>
      <c r="I8" s="45"/>
      <c r="J8" s="6">
        <v>0</v>
      </c>
      <c r="K8" s="6"/>
      <c r="L8" s="6"/>
      <c r="M8" s="45">
        <v>0</v>
      </c>
    </row>
    <row r="9" spans="1:13" ht="12.75">
      <c r="A9" s="5" t="s">
        <v>9</v>
      </c>
      <c r="B9" s="6"/>
      <c r="C9" s="6"/>
      <c r="D9" s="6"/>
      <c r="E9" s="6"/>
      <c r="F9" s="6"/>
      <c r="G9" s="45">
        <v>0</v>
      </c>
      <c r="H9" s="45"/>
      <c r="I9" s="45"/>
      <c r="J9" s="6">
        <v>0</v>
      </c>
      <c r="K9" s="6"/>
      <c r="L9" s="6"/>
      <c r="M9" s="45">
        <v>0</v>
      </c>
    </row>
    <row r="10" spans="1:13" ht="12.75">
      <c r="A10" s="5" t="s">
        <v>10</v>
      </c>
      <c r="B10" s="6"/>
      <c r="C10" s="6"/>
      <c r="D10" s="6"/>
      <c r="E10" s="6"/>
      <c r="F10" s="6"/>
      <c r="G10" s="45">
        <v>0</v>
      </c>
      <c r="H10" s="45"/>
      <c r="I10" s="45"/>
      <c r="J10" s="6">
        <v>0</v>
      </c>
      <c r="K10" s="6"/>
      <c r="L10" s="6"/>
      <c r="M10" s="45">
        <v>0</v>
      </c>
    </row>
    <row r="11" spans="1:13" ht="12.75">
      <c r="A11" s="5" t="s">
        <v>11</v>
      </c>
      <c r="B11" s="6"/>
      <c r="C11" s="6"/>
      <c r="D11" s="6"/>
      <c r="E11" s="6"/>
      <c r="F11" s="6"/>
      <c r="G11" s="26">
        <v>0</v>
      </c>
      <c r="H11" s="26"/>
      <c r="I11" s="26"/>
      <c r="J11" s="6">
        <v>0</v>
      </c>
      <c r="K11" s="6"/>
      <c r="L11" s="6"/>
      <c r="M11" s="45">
        <v>0</v>
      </c>
    </row>
    <row r="12" spans="1:13" ht="12.75">
      <c r="A12" s="5" t="s">
        <v>12</v>
      </c>
      <c r="B12" s="63"/>
      <c r="C12" s="61"/>
      <c r="D12" s="61"/>
      <c r="E12" s="61"/>
      <c r="F12" s="73"/>
      <c r="G12" s="26"/>
      <c r="H12" s="26"/>
      <c r="I12" s="104"/>
      <c r="J12" s="6"/>
      <c r="K12" s="6"/>
      <c r="L12" s="105"/>
      <c r="M12" s="45"/>
    </row>
    <row r="13" spans="1:13" ht="12.75">
      <c r="A13" s="5" t="s">
        <v>13</v>
      </c>
      <c r="B13" s="63"/>
      <c r="C13" s="61"/>
      <c r="D13" s="61"/>
      <c r="E13" s="61"/>
      <c r="F13" s="73"/>
      <c r="H13" s="26"/>
      <c r="I13" s="104"/>
      <c r="J13" s="6"/>
      <c r="K13" s="6"/>
      <c r="L13" s="105"/>
      <c r="M13" s="45"/>
    </row>
    <row r="14" spans="1:13" ht="12.75">
      <c r="A14" s="5" t="s">
        <v>14</v>
      </c>
      <c r="B14" s="63"/>
      <c r="C14" s="61"/>
      <c r="D14" s="61"/>
      <c r="E14" s="61">
        <v>2972650.997274814</v>
      </c>
      <c r="F14" s="73"/>
      <c r="G14" s="26"/>
      <c r="H14" s="26"/>
      <c r="I14" s="104"/>
      <c r="J14" s="6"/>
      <c r="K14" s="6"/>
      <c r="L14" s="105"/>
      <c r="M14" s="45"/>
    </row>
    <row r="15" spans="1:13" ht="12.75">
      <c r="A15" s="5" t="s">
        <v>15</v>
      </c>
      <c r="B15" s="63"/>
      <c r="C15" s="61"/>
      <c r="D15" s="61"/>
      <c r="E15" s="61">
        <v>0</v>
      </c>
      <c r="F15" s="73"/>
      <c r="G15" s="26"/>
      <c r="H15" s="26"/>
      <c r="I15" s="104"/>
      <c r="J15" s="6"/>
      <c r="K15" s="6">
        <f>$E$13*0.2</f>
        <v>0</v>
      </c>
      <c r="L15" s="105"/>
      <c r="M15" s="45"/>
    </row>
    <row r="16" spans="1:13" ht="12.75">
      <c r="A16" s="5" t="s">
        <v>16</v>
      </c>
      <c r="B16" s="63"/>
      <c r="C16" s="61"/>
      <c r="D16" s="61"/>
      <c r="E16" s="61">
        <v>0</v>
      </c>
      <c r="F16" s="73"/>
      <c r="G16" s="26"/>
      <c r="H16" s="26">
        <f>$E$14*0.2</f>
        <v>594530.1994549629</v>
      </c>
      <c r="I16" s="104"/>
      <c r="J16" s="6"/>
      <c r="K16" s="6"/>
      <c r="L16" s="105"/>
      <c r="M16" s="45"/>
    </row>
    <row r="17" spans="1:13" ht="12.75">
      <c r="A17" s="5" t="s">
        <v>17</v>
      </c>
      <c r="B17" s="63"/>
      <c r="C17" s="61"/>
      <c r="D17" s="61"/>
      <c r="E17" s="61">
        <v>0</v>
      </c>
      <c r="F17" s="73"/>
      <c r="G17" s="26"/>
      <c r="H17" s="26">
        <f>$E$14*0.1</f>
        <v>297265.0997274814</v>
      </c>
      <c r="I17" s="104"/>
      <c r="J17" s="6"/>
      <c r="K17" s="6"/>
      <c r="L17" s="105"/>
      <c r="M17" s="45"/>
    </row>
    <row r="18" spans="1:13" ht="12.75">
      <c r="A18" s="5" t="s">
        <v>18</v>
      </c>
      <c r="B18" s="63"/>
      <c r="C18" s="61"/>
      <c r="D18" s="61"/>
      <c r="E18" s="61">
        <v>0</v>
      </c>
      <c r="F18" s="73"/>
      <c r="G18" s="26"/>
      <c r="H18" s="26">
        <f>$E$14*0.1</f>
        <v>297265.0997274814</v>
      </c>
      <c r="K18" s="6">
        <f>H16</f>
        <v>594530.1994549629</v>
      </c>
      <c r="L18" s="105"/>
      <c r="M18" s="45"/>
    </row>
    <row r="19" spans="1:12" ht="12.75">
      <c r="A19" s="5" t="s">
        <v>19</v>
      </c>
      <c r="B19" s="63"/>
      <c r="C19" s="61"/>
      <c r="D19" s="61"/>
      <c r="E19" s="61">
        <v>0</v>
      </c>
      <c r="F19" s="73"/>
      <c r="G19" s="26"/>
      <c r="H19" s="26">
        <f>E14*0.1</f>
        <v>297265.0997274814</v>
      </c>
      <c r="I19" s="104"/>
      <c r="J19" s="6"/>
      <c r="K19" s="6">
        <f aca="true" t="shared" si="0" ref="K19:K42">H17</f>
        <v>297265.0997274814</v>
      </c>
      <c r="L19" s="105"/>
    </row>
    <row r="20" spans="1:13" ht="12.75">
      <c r="A20" s="5" t="s">
        <v>20</v>
      </c>
      <c r="B20" s="63"/>
      <c r="C20" s="61"/>
      <c r="D20" s="61"/>
      <c r="E20" s="61">
        <v>0</v>
      </c>
      <c r="F20" s="73"/>
      <c r="G20" s="26"/>
      <c r="H20" s="26">
        <f>$E$14*0.1</f>
        <v>297265.0997274814</v>
      </c>
      <c r="I20" s="104"/>
      <c r="J20" s="6"/>
      <c r="K20" s="6">
        <f t="shared" si="0"/>
        <v>297265.0997274814</v>
      </c>
      <c r="L20" s="105"/>
      <c r="M20" s="45"/>
    </row>
    <row r="21" spans="1:13" ht="12.75">
      <c r="A21" s="5" t="s">
        <v>21</v>
      </c>
      <c r="B21" s="63"/>
      <c r="C21" s="61"/>
      <c r="D21" s="61"/>
      <c r="E21" s="61">
        <v>0</v>
      </c>
      <c r="F21" s="73"/>
      <c r="G21" s="26"/>
      <c r="H21" s="26">
        <f>E14*0.1</f>
        <v>297265.0997274814</v>
      </c>
      <c r="I21" s="104"/>
      <c r="J21" s="6"/>
      <c r="K21" s="6">
        <f t="shared" si="0"/>
        <v>297265.0997274814</v>
      </c>
      <c r="L21" s="105"/>
      <c r="M21" s="45"/>
    </row>
    <row r="22" spans="1:13" ht="12.75">
      <c r="A22" s="5" t="s">
        <v>22</v>
      </c>
      <c r="B22" s="63"/>
      <c r="C22" s="61"/>
      <c r="D22" s="61"/>
      <c r="E22" s="61">
        <v>0</v>
      </c>
      <c r="F22" s="73"/>
      <c r="G22" s="26"/>
      <c r="H22" s="26">
        <f>$E$14*0.1</f>
        <v>297265.0997274814</v>
      </c>
      <c r="I22" s="104"/>
      <c r="J22" s="6"/>
      <c r="K22" s="6">
        <f t="shared" si="0"/>
        <v>297265.0997274814</v>
      </c>
      <c r="L22" s="105"/>
      <c r="M22" s="45"/>
    </row>
    <row r="23" spans="1:13" ht="12.75">
      <c r="A23" s="5" t="s">
        <v>23</v>
      </c>
      <c r="B23" s="63"/>
      <c r="C23" s="61"/>
      <c r="D23" s="61"/>
      <c r="E23" s="61">
        <v>0</v>
      </c>
      <c r="F23" s="73"/>
      <c r="G23" s="26"/>
      <c r="H23" s="26"/>
      <c r="I23" s="104"/>
      <c r="J23" s="6"/>
      <c r="K23" s="6">
        <f t="shared" si="0"/>
        <v>297265.0997274814</v>
      </c>
      <c r="L23" s="105"/>
      <c r="M23" s="45"/>
    </row>
    <row r="24" spans="1:13" ht="12.75">
      <c r="A24" s="5" t="s">
        <v>24</v>
      </c>
      <c r="B24" s="63"/>
      <c r="C24" s="61"/>
      <c r="D24" s="62"/>
      <c r="E24" s="61">
        <v>2768352.0807023104</v>
      </c>
      <c r="F24" s="73"/>
      <c r="G24" s="26"/>
      <c r="H24" s="26"/>
      <c r="I24" s="104"/>
      <c r="J24" s="6"/>
      <c r="K24" s="6">
        <f t="shared" si="0"/>
        <v>297265.0997274814</v>
      </c>
      <c r="L24" s="105"/>
      <c r="M24" s="45"/>
    </row>
    <row r="25" spans="1:13" ht="12.75">
      <c r="A25" s="5" t="s">
        <v>25</v>
      </c>
      <c r="B25" s="63"/>
      <c r="C25" s="61"/>
      <c r="D25" s="61"/>
      <c r="E25" s="61">
        <v>0</v>
      </c>
      <c r="F25" s="73"/>
      <c r="G25" s="26"/>
      <c r="H25" s="26">
        <f>E14*0.2</f>
        <v>594530.1994549629</v>
      </c>
      <c r="I25" s="104"/>
      <c r="J25" s="6"/>
      <c r="K25" s="6">
        <f t="shared" si="0"/>
        <v>0</v>
      </c>
      <c r="L25" s="105"/>
      <c r="M25" s="45"/>
    </row>
    <row r="26" spans="1:13" ht="12.75">
      <c r="A26" s="5" t="s">
        <v>26</v>
      </c>
      <c r="B26" s="63"/>
      <c r="C26" s="61"/>
      <c r="D26" s="61"/>
      <c r="E26" s="61">
        <v>0</v>
      </c>
      <c r="F26" s="73"/>
      <c r="G26" s="26"/>
      <c r="H26" s="26">
        <f>E24*0.2</f>
        <v>553670.4161404622</v>
      </c>
      <c r="I26" s="104"/>
      <c r="J26" s="6"/>
      <c r="K26" s="6">
        <f t="shared" si="0"/>
        <v>0</v>
      </c>
      <c r="L26" s="105"/>
      <c r="M26" s="45"/>
    </row>
    <row r="27" spans="1:13" ht="12.75">
      <c r="A27" s="5" t="s">
        <v>27</v>
      </c>
      <c r="B27" s="63"/>
      <c r="C27" s="61"/>
      <c r="D27" s="61"/>
      <c r="E27" s="61">
        <v>0</v>
      </c>
      <c r="F27" s="73"/>
      <c r="G27" s="26"/>
      <c r="H27" s="26"/>
      <c r="I27" s="104"/>
      <c r="J27" s="6"/>
      <c r="K27" s="6">
        <f t="shared" si="0"/>
        <v>594530.1994549629</v>
      </c>
      <c r="L27" s="105"/>
      <c r="M27" s="45"/>
    </row>
    <row r="28" spans="1:13" ht="12.75">
      <c r="A28" s="5" t="s">
        <v>28</v>
      </c>
      <c r="B28" s="63"/>
      <c r="C28" s="61"/>
      <c r="D28" s="61"/>
      <c r="E28" s="61">
        <v>0</v>
      </c>
      <c r="F28" s="73"/>
      <c r="G28" s="26"/>
      <c r="H28" s="26"/>
      <c r="I28" s="104"/>
      <c r="J28" s="6"/>
      <c r="K28" s="6">
        <f t="shared" si="0"/>
        <v>553670.4161404622</v>
      </c>
      <c r="L28" s="105"/>
      <c r="M28" s="45"/>
    </row>
    <row r="29" spans="1:13" ht="12.75">
      <c r="A29" s="5" t="s">
        <v>29</v>
      </c>
      <c r="B29" s="63"/>
      <c r="C29" s="61"/>
      <c r="D29" s="61"/>
      <c r="E29" s="61">
        <v>0</v>
      </c>
      <c r="F29" s="73"/>
      <c r="G29" s="26"/>
      <c r="H29" s="26">
        <f>E24*0.25</f>
        <v>692088.0201755776</v>
      </c>
      <c r="I29" s="104"/>
      <c r="J29" s="6"/>
      <c r="K29" s="6">
        <f t="shared" si="0"/>
        <v>0</v>
      </c>
      <c r="L29" s="105"/>
      <c r="M29" s="45"/>
    </row>
    <row r="30" spans="1:13" ht="12.75">
      <c r="A30" s="5" t="s">
        <v>30</v>
      </c>
      <c r="B30" s="63"/>
      <c r="C30" s="61"/>
      <c r="D30" s="61"/>
      <c r="E30" s="61">
        <v>0</v>
      </c>
      <c r="F30" s="73"/>
      <c r="G30" s="26"/>
      <c r="H30" s="26"/>
      <c r="I30" s="104"/>
      <c r="J30" s="6"/>
      <c r="K30" s="6">
        <f t="shared" si="0"/>
        <v>0</v>
      </c>
      <c r="L30" s="105"/>
      <c r="M30" s="45"/>
    </row>
    <row r="31" spans="1:13" ht="12.75">
      <c r="A31" s="5" t="s">
        <v>31</v>
      </c>
      <c r="B31" s="63"/>
      <c r="C31" s="61"/>
      <c r="D31" s="61"/>
      <c r="E31" s="61">
        <v>0</v>
      </c>
      <c r="F31" s="73"/>
      <c r="G31" s="26"/>
      <c r="H31" s="26"/>
      <c r="I31" s="104"/>
      <c r="J31" s="6"/>
      <c r="K31" s="6">
        <f t="shared" si="0"/>
        <v>692088.0201755776</v>
      </c>
      <c r="L31" s="105"/>
      <c r="M31" s="45"/>
    </row>
    <row r="32" spans="1:13" ht="12.75">
      <c r="A32" s="5" t="s">
        <v>32</v>
      </c>
      <c r="B32" s="63"/>
      <c r="C32" s="61"/>
      <c r="D32" s="61"/>
      <c r="E32" s="61">
        <v>115391.75</v>
      </c>
      <c r="F32" s="73"/>
      <c r="G32" s="26"/>
      <c r="H32" s="26">
        <f>E24*0.2</f>
        <v>553670.4161404622</v>
      </c>
      <c r="I32" s="104"/>
      <c r="J32" s="6"/>
      <c r="K32" s="6">
        <f t="shared" si="0"/>
        <v>0</v>
      </c>
      <c r="L32" s="105"/>
      <c r="M32" s="45"/>
    </row>
    <row r="33" spans="1:13" ht="12.75">
      <c r="A33" s="5" t="s">
        <v>33</v>
      </c>
      <c r="B33" s="61"/>
      <c r="C33" s="61"/>
      <c r="D33" s="62"/>
      <c r="E33" s="62"/>
      <c r="F33" s="62"/>
      <c r="G33" s="6"/>
      <c r="I33" s="104"/>
      <c r="J33" s="6"/>
      <c r="K33" s="6">
        <f t="shared" si="0"/>
        <v>0</v>
      </c>
      <c r="L33" s="105"/>
      <c r="M33" s="45"/>
    </row>
    <row r="34" spans="1:13" ht="12.75">
      <c r="A34" s="5" t="s">
        <v>34</v>
      </c>
      <c r="B34" s="61"/>
      <c r="C34" s="61"/>
      <c r="D34" s="62"/>
      <c r="E34" s="61"/>
      <c r="F34" s="62"/>
      <c r="G34" s="6"/>
      <c r="H34" s="26"/>
      <c r="I34" s="104"/>
      <c r="J34" s="6"/>
      <c r="K34" s="6">
        <f t="shared" si="0"/>
        <v>553670.4161404622</v>
      </c>
      <c r="L34" s="105"/>
      <c r="M34" s="45"/>
    </row>
    <row r="35" spans="1:13" ht="12.75">
      <c r="A35" s="5" t="s">
        <v>35</v>
      </c>
      <c r="B35" s="61"/>
      <c r="C35" s="61"/>
      <c r="D35" s="62"/>
      <c r="E35" s="62"/>
      <c r="F35" s="62"/>
      <c r="G35" s="6"/>
      <c r="H35" s="26">
        <f>E32+E24*0.15</f>
        <v>530644.5621053465</v>
      </c>
      <c r="I35" s="104"/>
      <c r="J35" s="6"/>
      <c r="K35" s="6">
        <f t="shared" si="0"/>
        <v>0</v>
      </c>
      <c r="L35" s="105"/>
      <c r="M35" s="45"/>
    </row>
    <row r="36" spans="1:13" ht="12.75">
      <c r="A36" s="5" t="s">
        <v>36</v>
      </c>
      <c r="B36" s="61"/>
      <c r="C36" s="61"/>
      <c r="D36" s="62"/>
      <c r="E36" s="62"/>
      <c r="F36" s="62"/>
      <c r="G36" s="6"/>
      <c r="H36" s="26"/>
      <c r="I36" s="104"/>
      <c r="J36" s="6"/>
      <c r="K36" s="6">
        <f t="shared" si="0"/>
        <v>0</v>
      </c>
      <c r="L36" s="105"/>
      <c r="M36" s="45"/>
    </row>
    <row r="37" spans="1:13" ht="12.75">
      <c r="A37" s="5" t="s">
        <v>37</v>
      </c>
      <c r="B37" s="57"/>
      <c r="C37" s="57"/>
      <c r="D37" s="58"/>
      <c r="E37" s="58"/>
      <c r="F37" s="58"/>
      <c r="G37" s="6"/>
      <c r="H37" s="26"/>
      <c r="I37" s="104"/>
      <c r="J37" s="6"/>
      <c r="K37" s="6">
        <f t="shared" si="0"/>
        <v>530644.5621053465</v>
      </c>
      <c r="L37" s="105"/>
      <c r="M37" s="45"/>
    </row>
    <row r="38" spans="1:13" ht="12.75">
      <c r="A38" s="5" t="s">
        <v>38</v>
      </c>
      <c r="B38" s="57"/>
      <c r="C38" s="57"/>
      <c r="D38" s="58"/>
      <c r="E38" s="58"/>
      <c r="F38" s="58"/>
      <c r="G38" s="6"/>
      <c r="H38" s="26">
        <f>E24*0.2</f>
        <v>553670.4161404622</v>
      </c>
      <c r="I38" s="104"/>
      <c r="J38" s="6"/>
      <c r="K38" s="6">
        <f t="shared" si="0"/>
        <v>0</v>
      </c>
      <c r="L38" s="105"/>
      <c r="M38" s="45"/>
    </row>
    <row r="39" spans="1:13" ht="12.75">
      <c r="A39" s="5" t="s">
        <v>39</v>
      </c>
      <c r="B39" s="57"/>
      <c r="C39" s="57"/>
      <c r="D39" s="58"/>
      <c r="E39" s="58"/>
      <c r="F39" s="58"/>
      <c r="G39" s="6"/>
      <c r="H39" s="26"/>
      <c r="I39" s="104"/>
      <c r="J39" s="6"/>
      <c r="K39" s="6">
        <f t="shared" si="0"/>
        <v>0</v>
      </c>
      <c r="L39" s="105"/>
      <c r="M39" s="45"/>
    </row>
    <row r="40" spans="1:13" ht="12.75">
      <c r="A40" s="5" t="s">
        <v>40</v>
      </c>
      <c r="B40" s="57"/>
      <c r="C40" s="58"/>
      <c r="D40" s="58"/>
      <c r="E40" s="58"/>
      <c r="F40" s="58"/>
      <c r="G40" s="6"/>
      <c r="H40" s="26"/>
      <c r="I40" s="104"/>
      <c r="J40" s="6"/>
      <c r="K40" s="6">
        <f t="shared" si="0"/>
        <v>553670.4161404622</v>
      </c>
      <c r="L40" s="105"/>
      <c r="M40" s="45"/>
    </row>
    <row r="41" spans="1:13" ht="12.75">
      <c r="A41" s="5" t="s">
        <v>41</v>
      </c>
      <c r="B41" s="57"/>
      <c r="C41" s="58"/>
      <c r="D41" s="58"/>
      <c r="E41" s="58"/>
      <c r="F41" s="58"/>
      <c r="G41" s="6"/>
      <c r="I41" s="104"/>
      <c r="J41" s="6"/>
      <c r="K41" s="6">
        <f t="shared" si="0"/>
        <v>0</v>
      </c>
      <c r="L41" s="105"/>
      <c r="M41" s="45"/>
    </row>
    <row r="42" spans="1:13" ht="12.75">
      <c r="A42" s="5" t="s">
        <v>42</v>
      </c>
      <c r="B42" s="57"/>
      <c r="C42" s="58"/>
      <c r="D42" s="58"/>
      <c r="E42" s="58"/>
      <c r="F42" s="58"/>
      <c r="G42" s="6"/>
      <c r="H42" s="26"/>
      <c r="I42" s="104"/>
      <c r="J42" s="6"/>
      <c r="K42" s="6">
        <f t="shared" si="0"/>
        <v>0</v>
      </c>
      <c r="L42" s="105"/>
      <c r="M42" s="45"/>
    </row>
    <row r="43" spans="1:13" ht="12.75">
      <c r="A43" s="5" t="s">
        <v>43</v>
      </c>
      <c r="B43" s="57"/>
      <c r="C43" s="58"/>
      <c r="D43" s="58"/>
      <c r="E43" s="58"/>
      <c r="F43" s="58"/>
      <c r="H43" s="6"/>
      <c r="I43" s="6"/>
      <c r="J43" s="6"/>
      <c r="K43" s="6"/>
      <c r="L43" s="105"/>
      <c r="M43" s="6"/>
    </row>
    <row r="44" spans="1:13" ht="12.75">
      <c r="A44" s="5"/>
      <c r="B44" s="6"/>
      <c r="G44" s="6"/>
      <c r="J44" s="6"/>
      <c r="K44" s="6"/>
      <c r="L44" s="6"/>
      <c r="M44" s="6"/>
    </row>
    <row r="45" spans="8:13" ht="12.75">
      <c r="H45" s="6"/>
      <c r="I45" s="6"/>
      <c r="J45" s="6"/>
      <c r="K45" s="6"/>
      <c r="L45" s="6"/>
      <c r="M45" s="6"/>
    </row>
    <row r="46" spans="10:13" ht="12.75">
      <c r="J46" s="6"/>
      <c r="K46" s="6"/>
      <c r="L46" s="6"/>
      <c r="M46" s="6"/>
    </row>
    <row r="47" ht="12.75">
      <c r="M47" s="6"/>
    </row>
    <row r="48" ht="12.75">
      <c r="A48" t="s">
        <v>58</v>
      </c>
    </row>
    <row r="50" spans="1:7" ht="38.25">
      <c r="A50" s="4" t="s">
        <v>4</v>
      </c>
      <c r="B50" s="4" t="s">
        <v>5</v>
      </c>
      <c r="C50" s="4" t="s">
        <v>6</v>
      </c>
      <c r="D50" s="4" t="s">
        <v>7</v>
      </c>
      <c r="E50" s="12" t="s">
        <v>137</v>
      </c>
      <c r="F50" s="12" t="s">
        <v>139</v>
      </c>
      <c r="G50" s="12" t="s">
        <v>138</v>
      </c>
    </row>
    <row r="51" spans="1:13" ht="38.25">
      <c r="A51" s="5" t="s">
        <v>8</v>
      </c>
      <c r="B51">
        <v>0</v>
      </c>
      <c r="C51" s="6">
        <v>0</v>
      </c>
      <c r="D51" s="6">
        <v>0</v>
      </c>
      <c r="E51" s="6"/>
      <c r="F51" s="6"/>
      <c r="G51" s="6">
        <f>G8</f>
        <v>0</v>
      </c>
      <c r="H51" s="12" t="s">
        <v>141</v>
      </c>
      <c r="I51" s="12" t="s">
        <v>142</v>
      </c>
      <c r="J51" s="12" t="s">
        <v>147</v>
      </c>
      <c r="K51" s="12" t="s">
        <v>145</v>
      </c>
      <c r="L51" s="12" t="s">
        <v>146</v>
      </c>
      <c r="M51" s="12" t="s">
        <v>144</v>
      </c>
    </row>
    <row r="52" spans="1:13" ht="12.75">
      <c r="A52" s="5" t="s">
        <v>9</v>
      </c>
      <c r="B52">
        <v>0</v>
      </c>
      <c r="C52" s="6">
        <v>0</v>
      </c>
      <c r="D52" s="6">
        <v>0</v>
      </c>
      <c r="E52" s="6"/>
      <c r="F52" s="6"/>
      <c r="G52" s="6">
        <f aca="true" t="shared" si="1" ref="G52:G86">G51+G9</f>
        <v>0</v>
      </c>
      <c r="H52" s="6"/>
      <c r="I52" s="6"/>
      <c r="J52" s="6">
        <f>J8</f>
        <v>0</v>
      </c>
      <c r="K52" s="6"/>
      <c r="L52" s="6"/>
      <c r="M52" s="6">
        <f>M8</f>
        <v>0</v>
      </c>
    </row>
    <row r="53" spans="1:13" ht="12.75">
      <c r="A53" s="5" t="s">
        <v>10</v>
      </c>
      <c r="B53">
        <v>0</v>
      </c>
      <c r="C53" s="6">
        <v>0</v>
      </c>
      <c r="D53" s="6">
        <v>0</v>
      </c>
      <c r="E53" s="6"/>
      <c r="F53" s="6"/>
      <c r="G53" s="6">
        <f t="shared" si="1"/>
        <v>0</v>
      </c>
      <c r="H53" s="6"/>
      <c r="I53" s="6"/>
      <c r="J53" s="6">
        <f>J52+J9</f>
        <v>0</v>
      </c>
      <c r="K53" s="6"/>
      <c r="L53" s="6"/>
      <c r="M53" s="6">
        <f>M52+M9</f>
        <v>0</v>
      </c>
    </row>
    <row r="54" spans="1:13" ht="12.75">
      <c r="A54" s="5" t="s">
        <v>11</v>
      </c>
      <c r="B54" s="6"/>
      <c r="C54" s="6"/>
      <c r="D54" s="6"/>
      <c r="E54" s="6"/>
      <c r="F54" s="6"/>
      <c r="G54" s="6">
        <f t="shared" si="1"/>
        <v>0</v>
      </c>
      <c r="H54" s="6"/>
      <c r="I54" s="6"/>
      <c r="J54" s="6">
        <f>J53+J10</f>
        <v>0</v>
      </c>
      <c r="K54" s="6"/>
      <c r="L54" s="6"/>
      <c r="M54" s="6">
        <f>M53+M10</f>
        <v>0</v>
      </c>
    </row>
    <row r="55" spans="1:13" ht="12.75">
      <c r="A55" s="5" t="s">
        <v>12</v>
      </c>
      <c r="B55" s="6"/>
      <c r="C55" s="6"/>
      <c r="D55" s="6"/>
      <c r="E55" s="6">
        <f aca="true" t="shared" si="2" ref="E55:E86">E54+E12</f>
        <v>0</v>
      </c>
      <c r="F55" s="6"/>
      <c r="G55" s="6">
        <f t="shared" si="1"/>
        <v>0</v>
      </c>
      <c r="H55" s="6"/>
      <c r="I55" s="6"/>
      <c r="J55" s="6">
        <f>J54+J11</f>
        <v>0</v>
      </c>
      <c r="K55" s="6"/>
      <c r="L55" s="6"/>
      <c r="M55" s="6">
        <f>M54+M11</f>
        <v>0</v>
      </c>
    </row>
    <row r="56" spans="1:13" ht="12.75">
      <c r="A56" s="5" t="s">
        <v>13</v>
      </c>
      <c r="B56" s="6"/>
      <c r="C56" s="6"/>
      <c r="D56" s="6"/>
      <c r="E56" s="6">
        <f t="shared" si="2"/>
        <v>0</v>
      </c>
      <c r="F56" s="6"/>
      <c r="G56" s="6">
        <f t="shared" si="1"/>
        <v>0</v>
      </c>
      <c r="H56" s="6"/>
      <c r="I56" s="6"/>
      <c r="J56" s="6">
        <f>J55+J12</f>
        <v>0</v>
      </c>
      <c r="K56" s="6"/>
      <c r="L56" s="6"/>
      <c r="M56" s="6">
        <f>M55+M12</f>
        <v>0</v>
      </c>
    </row>
    <row r="57" spans="1:13" ht="12.75">
      <c r="A57" s="5" t="s">
        <v>14</v>
      </c>
      <c r="B57" s="6"/>
      <c r="C57" s="6"/>
      <c r="D57" s="6"/>
      <c r="E57" s="6">
        <f t="shared" si="2"/>
        <v>2972650.997274814</v>
      </c>
      <c r="F57" s="6"/>
      <c r="G57" s="6">
        <f t="shared" si="1"/>
        <v>0</v>
      </c>
      <c r="H57" s="6">
        <f>H56+H13</f>
        <v>0</v>
      </c>
      <c r="I57" s="6"/>
      <c r="J57" s="6">
        <f>J56+J13</f>
        <v>0</v>
      </c>
      <c r="K57" s="6"/>
      <c r="L57" s="6"/>
      <c r="M57" s="6">
        <f>M56+M13</f>
        <v>0</v>
      </c>
    </row>
    <row r="58" spans="1:13" ht="12.75">
      <c r="A58" s="5" t="s">
        <v>15</v>
      </c>
      <c r="B58" s="6"/>
      <c r="C58" s="6"/>
      <c r="D58" s="6"/>
      <c r="E58" s="6">
        <f t="shared" si="2"/>
        <v>2972650.997274814</v>
      </c>
      <c r="F58" s="6"/>
      <c r="G58" s="6">
        <f t="shared" si="1"/>
        <v>0</v>
      </c>
      <c r="H58" s="6">
        <f aca="true" t="shared" si="3" ref="H58:H86">H57+H15</f>
        <v>0</v>
      </c>
      <c r="I58" s="6"/>
      <c r="J58" s="6">
        <f aca="true" t="shared" si="4" ref="J58:J86">J57+J15</f>
        <v>0</v>
      </c>
      <c r="K58" s="6">
        <f aca="true" t="shared" si="5" ref="K58:K86">K57+K15</f>
        <v>0</v>
      </c>
      <c r="L58" s="6"/>
      <c r="M58" s="6"/>
    </row>
    <row r="59" spans="1:13" ht="12.75">
      <c r="A59" s="5" t="s">
        <v>16</v>
      </c>
      <c r="B59" s="6"/>
      <c r="C59" s="6"/>
      <c r="D59" s="6"/>
      <c r="E59" s="6">
        <f t="shared" si="2"/>
        <v>2972650.997274814</v>
      </c>
      <c r="F59" s="6"/>
      <c r="G59" s="6">
        <f t="shared" si="1"/>
        <v>0</v>
      </c>
      <c r="H59" s="6">
        <f t="shared" si="3"/>
        <v>594530.1994549629</v>
      </c>
      <c r="I59" s="6"/>
      <c r="J59" s="6">
        <f t="shared" si="4"/>
        <v>0</v>
      </c>
      <c r="K59" s="6">
        <f t="shared" si="5"/>
        <v>0</v>
      </c>
      <c r="L59" s="6"/>
      <c r="M59" s="6"/>
    </row>
    <row r="60" spans="1:13" ht="12.75">
      <c r="A60" s="5" t="s">
        <v>17</v>
      </c>
      <c r="B60" s="6"/>
      <c r="C60" s="6"/>
      <c r="D60" s="6"/>
      <c r="E60" s="6">
        <f t="shared" si="2"/>
        <v>2972650.997274814</v>
      </c>
      <c r="F60" s="6"/>
      <c r="G60" s="6">
        <f t="shared" si="1"/>
        <v>0</v>
      </c>
      <c r="H60" s="6">
        <f t="shared" si="3"/>
        <v>891795.2991824443</v>
      </c>
      <c r="I60" s="6"/>
      <c r="J60" s="6">
        <f t="shared" si="4"/>
        <v>0</v>
      </c>
      <c r="K60" s="6">
        <f t="shared" si="5"/>
        <v>0</v>
      </c>
      <c r="L60" s="6"/>
      <c r="M60" s="6"/>
    </row>
    <row r="61" spans="1:13" ht="12.75">
      <c r="A61" s="5" t="s">
        <v>18</v>
      </c>
      <c r="B61" s="6"/>
      <c r="C61" s="6"/>
      <c r="D61" s="6"/>
      <c r="E61" s="6">
        <f t="shared" si="2"/>
        <v>2972650.997274814</v>
      </c>
      <c r="F61" s="6"/>
      <c r="G61" s="6">
        <f t="shared" si="1"/>
        <v>0</v>
      </c>
      <c r="H61" s="6">
        <f t="shared" si="3"/>
        <v>1189060.3989099257</v>
      </c>
      <c r="I61" s="6"/>
      <c r="J61" s="6">
        <f t="shared" si="4"/>
        <v>0</v>
      </c>
      <c r="K61" s="6">
        <f t="shared" si="5"/>
        <v>594530.1994549629</v>
      </c>
      <c r="L61" s="6"/>
      <c r="M61" s="6"/>
    </row>
    <row r="62" spans="1:13" ht="12.75">
      <c r="A62" s="5" t="s">
        <v>19</v>
      </c>
      <c r="B62" s="6"/>
      <c r="C62" s="6"/>
      <c r="D62" s="6"/>
      <c r="E62" s="6">
        <f t="shared" si="2"/>
        <v>2972650.997274814</v>
      </c>
      <c r="F62" s="6"/>
      <c r="G62" s="6">
        <f t="shared" si="1"/>
        <v>0</v>
      </c>
      <c r="H62" s="6">
        <f t="shared" si="3"/>
        <v>1486325.498637407</v>
      </c>
      <c r="I62" s="6"/>
      <c r="J62" s="6">
        <f t="shared" si="4"/>
        <v>0</v>
      </c>
      <c r="K62" s="6">
        <f t="shared" si="5"/>
        <v>891795.2991824443</v>
      </c>
      <c r="L62" s="6"/>
      <c r="M62" s="6"/>
    </row>
    <row r="63" spans="1:13" ht="12.75">
      <c r="A63" s="5" t="s">
        <v>20</v>
      </c>
      <c r="B63" s="6"/>
      <c r="C63" s="6"/>
      <c r="D63" s="6"/>
      <c r="E63" s="6">
        <f t="shared" si="2"/>
        <v>2972650.997274814</v>
      </c>
      <c r="F63" s="6"/>
      <c r="G63" s="6">
        <f t="shared" si="1"/>
        <v>0</v>
      </c>
      <c r="H63" s="6">
        <f t="shared" si="3"/>
        <v>1783590.5983648885</v>
      </c>
      <c r="I63" s="6"/>
      <c r="J63" s="6">
        <f t="shared" si="4"/>
        <v>0</v>
      </c>
      <c r="K63" s="6">
        <f t="shared" si="5"/>
        <v>1189060.3989099257</v>
      </c>
      <c r="L63" s="6"/>
      <c r="M63" s="6"/>
    </row>
    <row r="64" spans="1:13" ht="12.75">
      <c r="A64" s="5" t="s">
        <v>21</v>
      </c>
      <c r="B64" s="6"/>
      <c r="C64" s="6"/>
      <c r="D64" s="6"/>
      <c r="E64" s="6">
        <f t="shared" si="2"/>
        <v>2972650.997274814</v>
      </c>
      <c r="F64" s="6"/>
      <c r="G64" s="6">
        <f t="shared" si="1"/>
        <v>0</v>
      </c>
      <c r="H64" s="6">
        <f t="shared" si="3"/>
        <v>2080855.6980923698</v>
      </c>
      <c r="I64" s="6"/>
      <c r="J64" s="6">
        <f t="shared" si="4"/>
        <v>0</v>
      </c>
      <c r="K64" s="6">
        <f t="shared" si="5"/>
        <v>1486325.498637407</v>
      </c>
      <c r="L64" s="6"/>
      <c r="M64" s="6"/>
    </row>
    <row r="65" spans="1:13" ht="12.75">
      <c r="A65" s="5" t="s">
        <v>22</v>
      </c>
      <c r="B65" s="6"/>
      <c r="C65" s="6"/>
      <c r="D65" s="6"/>
      <c r="E65" s="6">
        <f t="shared" si="2"/>
        <v>2972650.997274814</v>
      </c>
      <c r="F65" s="6"/>
      <c r="G65" s="6">
        <f t="shared" si="1"/>
        <v>0</v>
      </c>
      <c r="H65" s="6">
        <f t="shared" si="3"/>
        <v>2378120.7978198514</v>
      </c>
      <c r="I65" s="6"/>
      <c r="J65" s="6">
        <f t="shared" si="4"/>
        <v>0</v>
      </c>
      <c r="K65" s="6">
        <f t="shared" si="5"/>
        <v>1783590.5983648885</v>
      </c>
      <c r="L65" s="6"/>
      <c r="M65" s="6"/>
    </row>
    <row r="66" spans="1:13" ht="12.75">
      <c r="A66" s="5" t="s">
        <v>23</v>
      </c>
      <c r="B66" s="6"/>
      <c r="C66" s="6"/>
      <c r="D66" s="6"/>
      <c r="E66" s="6">
        <f t="shared" si="2"/>
        <v>2972650.997274814</v>
      </c>
      <c r="F66" s="6"/>
      <c r="G66" s="6">
        <f t="shared" si="1"/>
        <v>0</v>
      </c>
      <c r="H66" s="6">
        <f t="shared" si="3"/>
        <v>2378120.7978198514</v>
      </c>
      <c r="I66" s="6"/>
      <c r="J66" s="6">
        <f t="shared" si="4"/>
        <v>0</v>
      </c>
      <c r="K66" s="6">
        <f t="shared" si="5"/>
        <v>2080855.6980923698</v>
      </c>
      <c r="L66" s="6"/>
      <c r="M66" s="6"/>
    </row>
    <row r="67" spans="1:13" ht="12.75">
      <c r="A67" s="5" t="s">
        <v>24</v>
      </c>
      <c r="B67" s="6"/>
      <c r="C67" s="6"/>
      <c r="D67" s="6"/>
      <c r="E67" s="6">
        <f t="shared" si="2"/>
        <v>5741003.077977125</v>
      </c>
      <c r="F67" s="6"/>
      <c r="G67" s="6">
        <f t="shared" si="1"/>
        <v>0</v>
      </c>
      <c r="H67" s="6">
        <f t="shared" si="3"/>
        <v>2378120.7978198514</v>
      </c>
      <c r="I67" s="6"/>
      <c r="J67" s="6">
        <f t="shared" si="4"/>
        <v>0</v>
      </c>
      <c r="K67" s="6">
        <f t="shared" si="5"/>
        <v>2378120.7978198514</v>
      </c>
      <c r="L67" s="6"/>
      <c r="M67" s="6"/>
    </row>
    <row r="68" spans="1:13" ht="12.75">
      <c r="A68" s="5" t="s">
        <v>25</v>
      </c>
      <c r="B68" s="6"/>
      <c r="C68" s="6"/>
      <c r="D68" s="6"/>
      <c r="E68" s="6">
        <f t="shared" si="2"/>
        <v>5741003.077977125</v>
      </c>
      <c r="F68" s="6"/>
      <c r="G68" s="6">
        <f t="shared" si="1"/>
        <v>0</v>
      </c>
      <c r="H68" s="6">
        <f t="shared" si="3"/>
        <v>2972650.997274814</v>
      </c>
      <c r="I68" s="6"/>
      <c r="J68" s="6">
        <f t="shared" si="4"/>
        <v>0</v>
      </c>
      <c r="K68" s="6">
        <f t="shared" si="5"/>
        <v>2378120.7978198514</v>
      </c>
      <c r="L68" s="6"/>
      <c r="M68" s="6"/>
    </row>
    <row r="69" spans="1:13" ht="12.75">
      <c r="A69" s="5" t="s">
        <v>26</v>
      </c>
      <c r="B69" s="6"/>
      <c r="C69" s="6"/>
      <c r="D69" s="6"/>
      <c r="E69" s="6">
        <f t="shared" si="2"/>
        <v>5741003.077977125</v>
      </c>
      <c r="F69" s="6"/>
      <c r="G69" s="6">
        <f t="shared" si="1"/>
        <v>0</v>
      </c>
      <c r="H69" s="6">
        <f t="shared" si="3"/>
        <v>3526321.4134152764</v>
      </c>
      <c r="I69" s="6"/>
      <c r="J69" s="6">
        <f t="shared" si="4"/>
        <v>0</v>
      </c>
      <c r="K69" s="6">
        <f t="shared" si="5"/>
        <v>2378120.7978198514</v>
      </c>
      <c r="L69" s="6"/>
      <c r="M69" s="6"/>
    </row>
    <row r="70" spans="1:13" ht="12.75">
      <c r="A70" s="5" t="s">
        <v>27</v>
      </c>
      <c r="B70" s="6"/>
      <c r="C70" s="6"/>
      <c r="D70" s="6"/>
      <c r="E70" s="6">
        <f t="shared" si="2"/>
        <v>5741003.077977125</v>
      </c>
      <c r="F70" s="6"/>
      <c r="G70" s="6">
        <f t="shared" si="1"/>
        <v>0</v>
      </c>
      <c r="H70" s="6">
        <f t="shared" si="3"/>
        <v>3526321.4134152764</v>
      </c>
      <c r="I70" s="6"/>
      <c r="J70" s="6">
        <f t="shared" si="4"/>
        <v>0</v>
      </c>
      <c r="K70" s="6">
        <f t="shared" si="5"/>
        <v>2972650.997274814</v>
      </c>
      <c r="L70" s="6"/>
      <c r="M70" s="6"/>
    </row>
    <row r="71" spans="1:13" ht="12.75">
      <c r="A71" s="5" t="s">
        <v>28</v>
      </c>
      <c r="E71" s="6">
        <f t="shared" si="2"/>
        <v>5741003.077977125</v>
      </c>
      <c r="G71" s="6">
        <f t="shared" si="1"/>
        <v>0</v>
      </c>
      <c r="H71" s="6">
        <f t="shared" si="3"/>
        <v>3526321.4134152764</v>
      </c>
      <c r="I71" s="6"/>
      <c r="J71" s="6">
        <f t="shared" si="4"/>
        <v>0</v>
      </c>
      <c r="K71" s="6">
        <f t="shared" si="5"/>
        <v>3526321.4134152764</v>
      </c>
      <c r="L71" s="6"/>
      <c r="M71" s="6"/>
    </row>
    <row r="72" spans="1:13" ht="12.75">
      <c r="A72" s="5" t="s">
        <v>29</v>
      </c>
      <c r="E72" s="6">
        <f t="shared" si="2"/>
        <v>5741003.077977125</v>
      </c>
      <c r="G72" s="6">
        <f t="shared" si="1"/>
        <v>0</v>
      </c>
      <c r="H72" s="6">
        <f t="shared" si="3"/>
        <v>4218409.433590854</v>
      </c>
      <c r="I72" s="6"/>
      <c r="J72" s="6">
        <f t="shared" si="4"/>
        <v>0</v>
      </c>
      <c r="K72" s="6">
        <f t="shared" si="5"/>
        <v>3526321.4134152764</v>
      </c>
      <c r="L72" s="6"/>
      <c r="M72" s="6"/>
    </row>
    <row r="73" spans="1:13" ht="12.75">
      <c r="A73" s="5" t="s">
        <v>30</v>
      </c>
      <c r="E73" s="6">
        <f t="shared" si="2"/>
        <v>5741003.077977125</v>
      </c>
      <c r="G73" s="6">
        <f t="shared" si="1"/>
        <v>0</v>
      </c>
      <c r="H73" s="6">
        <f t="shared" si="3"/>
        <v>4218409.433590854</v>
      </c>
      <c r="I73" s="6"/>
      <c r="J73" s="6">
        <f t="shared" si="4"/>
        <v>0</v>
      </c>
      <c r="K73" s="6">
        <f t="shared" si="5"/>
        <v>3526321.4134152764</v>
      </c>
      <c r="L73" s="6"/>
      <c r="M73" s="6"/>
    </row>
    <row r="74" spans="1:13" ht="12.75">
      <c r="A74" s="5" t="s">
        <v>31</v>
      </c>
      <c r="E74" s="6">
        <f t="shared" si="2"/>
        <v>5741003.077977125</v>
      </c>
      <c r="G74" s="6">
        <f t="shared" si="1"/>
        <v>0</v>
      </c>
      <c r="H74" s="6">
        <f t="shared" si="3"/>
        <v>4218409.433590854</v>
      </c>
      <c r="I74" s="6"/>
      <c r="J74" s="6">
        <f t="shared" si="4"/>
        <v>0</v>
      </c>
      <c r="K74" s="6">
        <f t="shared" si="5"/>
        <v>4218409.433590854</v>
      </c>
      <c r="L74" s="6"/>
      <c r="M74" s="6"/>
    </row>
    <row r="75" spans="1:13" ht="12.75">
      <c r="A75" s="5" t="s">
        <v>32</v>
      </c>
      <c r="E75" s="6">
        <f t="shared" si="2"/>
        <v>5856394.827977125</v>
      </c>
      <c r="G75" s="6">
        <f t="shared" si="1"/>
        <v>0</v>
      </c>
      <c r="H75" s="6">
        <f t="shared" si="3"/>
        <v>4772079.849731316</v>
      </c>
      <c r="I75" s="6"/>
      <c r="J75" s="6">
        <f t="shared" si="4"/>
        <v>0</v>
      </c>
      <c r="K75" s="6">
        <f t="shared" si="5"/>
        <v>4218409.433590854</v>
      </c>
      <c r="L75" s="6"/>
      <c r="M75" s="6"/>
    </row>
    <row r="76" spans="1:13" ht="12.75">
      <c r="A76" s="5" t="s">
        <v>33</v>
      </c>
      <c r="E76" s="6">
        <f t="shared" si="2"/>
        <v>5856394.827977125</v>
      </c>
      <c r="G76" s="6">
        <f t="shared" si="1"/>
        <v>0</v>
      </c>
      <c r="H76" s="6">
        <f t="shared" si="3"/>
        <v>4772079.849731316</v>
      </c>
      <c r="I76" s="6"/>
      <c r="J76" s="6">
        <f t="shared" si="4"/>
        <v>0</v>
      </c>
      <c r="K76" s="6">
        <f t="shared" si="5"/>
        <v>4218409.433590854</v>
      </c>
      <c r="L76" s="6"/>
      <c r="M76" s="6"/>
    </row>
    <row r="77" spans="1:13" ht="12.75">
      <c r="A77" s="5" t="s">
        <v>34</v>
      </c>
      <c r="E77" s="6">
        <f t="shared" si="2"/>
        <v>5856394.827977125</v>
      </c>
      <c r="G77" s="6">
        <f t="shared" si="1"/>
        <v>0</v>
      </c>
      <c r="H77" s="6">
        <f t="shared" si="3"/>
        <v>4772079.849731316</v>
      </c>
      <c r="I77" s="6"/>
      <c r="J77" s="6">
        <f t="shared" si="4"/>
        <v>0</v>
      </c>
      <c r="K77" s="6">
        <f t="shared" si="5"/>
        <v>4772079.849731316</v>
      </c>
      <c r="L77" s="6"/>
      <c r="M77" s="6"/>
    </row>
    <row r="78" spans="1:13" ht="12.75">
      <c r="A78" s="5" t="s">
        <v>35</v>
      </c>
      <c r="E78" s="6">
        <f t="shared" si="2"/>
        <v>5856394.827977125</v>
      </c>
      <c r="G78" s="6">
        <f t="shared" si="1"/>
        <v>0</v>
      </c>
      <c r="H78" s="6">
        <f t="shared" si="3"/>
        <v>5302724.411836662</v>
      </c>
      <c r="I78" s="6"/>
      <c r="J78" s="6">
        <f t="shared" si="4"/>
        <v>0</v>
      </c>
      <c r="K78" s="6">
        <f t="shared" si="5"/>
        <v>4772079.849731316</v>
      </c>
      <c r="L78" s="6"/>
      <c r="M78" s="6"/>
    </row>
    <row r="79" spans="1:13" ht="12.75">
      <c r="A79" s="5" t="s">
        <v>36</v>
      </c>
      <c r="E79" s="6">
        <f t="shared" si="2"/>
        <v>5856394.827977125</v>
      </c>
      <c r="G79" s="6">
        <f t="shared" si="1"/>
        <v>0</v>
      </c>
      <c r="H79" s="6">
        <f t="shared" si="3"/>
        <v>5302724.411836662</v>
      </c>
      <c r="I79" s="6"/>
      <c r="J79" s="6">
        <f t="shared" si="4"/>
        <v>0</v>
      </c>
      <c r="K79" s="6">
        <f t="shared" si="5"/>
        <v>4772079.849731316</v>
      </c>
      <c r="L79" s="6"/>
      <c r="M79" s="6"/>
    </row>
    <row r="80" spans="1:13" ht="12.75">
      <c r="A80" s="5" t="s">
        <v>37</v>
      </c>
      <c r="E80" s="6">
        <f t="shared" si="2"/>
        <v>5856394.827977125</v>
      </c>
      <c r="G80" s="6">
        <f t="shared" si="1"/>
        <v>0</v>
      </c>
      <c r="H80" s="6">
        <f t="shared" si="3"/>
        <v>5302724.411836662</v>
      </c>
      <c r="I80" s="6"/>
      <c r="J80" s="6">
        <f t="shared" si="4"/>
        <v>0</v>
      </c>
      <c r="K80" s="6">
        <f t="shared" si="5"/>
        <v>5302724.411836662</v>
      </c>
      <c r="L80" s="6"/>
      <c r="M80" s="6"/>
    </row>
    <row r="81" spans="1:13" ht="12.75">
      <c r="A81" s="5" t="s">
        <v>38</v>
      </c>
      <c r="E81" s="6">
        <f t="shared" si="2"/>
        <v>5856394.827977125</v>
      </c>
      <c r="G81" s="6">
        <f t="shared" si="1"/>
        <v>0</v>
      </c>
      <c r="H81" s="6">
        <f t="shared" si="3"/>
        <v>5856394.827977125</v>
      </c>
      <c r="I81" s="6"/>
      <c r="J81" s="6">
        <f t="shared" si="4"/>
        <v>0</v>
      </c>
      <c r="K81" s="6">
        <f t="shared" si="5"/>
        <v>5302724.411836662</v>
      </c>
      <c r="L81" s="6"/>
      <c r="M81" s="6"/>
    </row>
    <row r="82" spans="1:13" ht="12.75">
      <c r="A82" s="5" t="s">
        <v>39</v>
      </c>
      <c r="E82" s="6">
        <f t="shared" si="2"/>
        <v>5856394.827977125</v>
      </c>
      <c r="G82" s="6">
        <f t="shared" si="1"/>
        <v>0</v>
      </c>
      <c r="H82" s="6">
        <f t="shared" si="3"/>
        <v>5856394.827977125</v>
      </c>
      <c r="I82" s="6"/>
      <c r="J82" s="6">
        <f t="shared" si="4"/>
        <v>0</v>
      </c>
      <c r="K82" s="6">
        <f t="shared" si="5"/>
        <v>5302724.411836662</v>
      </c>
      <c r="L82" s="6"/>
      <c r="M82" s="6"/>
    </row>
    <row r="83" spans="1:13" ht="12.75">
      <c r="A83" s="5" t="s">
        <v>40</v>
      </c>
      <c r="E83" s="6">
        <f t="shared" si="2"/>
        <v>5856394.827977125</v>
      </c>
      <c r="G83" s="6">
        <f t="shared" si="1"/>
        <v>0</v>
      </c>
      <c r="H83" s="6">
        <f t="shared" si="3"/>
        <v>5856394.827977125</v>
      </c>
      <c r="I83" s="6"/>
      <c r="J83" s="6">
        <f t="shared" si="4"/>
        <v>0</v>
      </c>
      <c r="K83" s="6">
        <f t="shared" si="5"/>
        <v>5856394.827977125</v>
      </c>
      <c r="L83" s="6"/>
      <c r="M83" s="6"/>
    </row>
    <row r="84" spans="1:13" ht="12.75">
      <c r="A84" s="5" t="s">
        <v>41</v>
      </c>
      <c r="E84" s="6">
        <f t="shared" si="2"/>
        <v>5856394.827977125</v>
      </c>
      <c r="G84" s="6">
        <f t="shared" si="1"/>
        <v>0</v>
      </c>
      <c r="H84" s="6">
        <f t="shared" si="3"/>
        <v>5856394.827977125</v>
      </c>
      <c r="I84" s="6"/>
      <c r="J84" s="6">
        <f t="shared" si="4"/>
        <v>0</v>
      </c>
      <c r="K84" s="6">
        <f t="shared" si="5"/>
        <v>5856394.827977125</v>
      </c>
      <c r="L84" s="6"/>
      <c r="M84" s="6"/>
    </row>
    <row r="85" spans="1:13" ht="12.75">
      <c r="A85" s="5" t="s">
        <v>42</v>
      </c>
      <c r="E85" s="6">
        <f t="shared" si="2"/>
        <v>5856394.827977125</v>
      </c>
      <c r="G85" s="6">
        <f t="shared" si="1"/>
        <v>0</v>
      </c>
      <c r="H85" s="6">
        <f t="shared" si="3"/>
        <v>5856394.827977125</v>
      </c>
      <c r="I85" s="6"/>
      <c r="J85" s="6">
        <f t="shared" si="4"/>
        <v>0</v>
      </c>
      <c r="K85" s="6">
        <f t="shared" si="5"/>
        <v>5856394.827977125</v>
      </c>
      <c r="L85" s="6"/>
      <c r="M85" s="6"/>
    </row>
    <row r="86" spans="1:13" ht="12.75">
      <c r="A86" s="5" t="s">
        <v>43</v>
      </c>
      <c r="E86" s="6">
        <f t="shared" si="2"/>
        <v>5856394.827977125</v>
      </c>
      <c r="G86" s="6">
        <f t="shared" si="1"/>
        <v>0</v>
      </c>
      <c r="H86" s="6">
        <f t="shared" si="3"/>
        <v>5856394.827977125</v>
      </c>
      <c r="I86" s="6"/>
      <c r="J86" s="6">
        <f t="shared" si="4"/>
        <v>0</v>
      </c>
      <c r="K86" s="6">
        <f t="shared" si="5"/>
        <v>5856394.827977125</v>
      </c>
      <c r="L86" s="6"/>
      <c r="M86" s="6"/>
    </row>
    <row r="87" spans="8:13" ht="12.75">
      <c r="H87" s="6"/>
      <c r="I87" s="6"/>
      <c r="J87" s="6"/>
      <c r="K87" s="6"/>
      <c r="L87" s="6"/>
      <c r="M87" s="6"/>
    </row>
    <row r="88" ht="12.75">
      <c r="H88" s="6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58"/>
  <sheetViews>
    <sheetView view="pageBreakPreview" zoomScaleNormal="85" zoomScaleSheetLayoutView="100" workbookViewId="0" topLeftCell="A16">
      <selection activeCell="H17" sqref="H17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15.00390625" style="0" customWidth="1"/>
    <col min="5" max="5" width="17.00390625" style="0" customWidth="1"/>
    <col min="6" max="6" width="15.00390625" style="0" customWidth="1"/>
    <col min="7" max="7" width="11.421875" style="0" bestFit="1" customWidth="1"/>
    <col min="8" max="9" width="11.421875" style="0" customWidth="1"/>
    <col min="10" max="10" width="13.00390625" style="0" customWidth="1"/>
    <col min="11" max="12" width="11.57421875" style="0" customWidth="1"/>
    <col min="13" max="13" width="13.00390625" style="0" bestFit="1" customWidth="1"/>
    <col min="14" max="14" width="15.140625" style="0" customWidth="1"/>
    <col min="15" max="15" width="13.421875" style="0" bestFit="1" customWidth="1"/>
  </cols>
  <sheetData>
    <row r="2" spans="1:15" ht="50.25" customHeight="1">
      <c r="A2" s="139" t="s">
        <v>122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18"/>
      <c r="M2" s="65"/>
      <c r="N2" s="91"/>
      <c r="O2" s="91"/>
    </row>
    <row r="3" ht="15.75">
      <c r="A3" s="25"/>
    </row>
    <row r="4" spans="1:9" ht="15.75">
      <c r="A4" s="25" t="s">
        <v>116</v>
      </c>
      <c r="G4" s="25" t="s">
        <v>114</v>
      </c>
      <c r="H4" s="25"/>
      <c r="I4" s="25"/>
    </row>
    <row r="5" spans="1:9" ht="15.75">
      <c r="A5" s="64" t="s">
        <v>123</v>
      </c>
      <c r="B5" s="26">
        <f>7365000*0.85</f>
        <v>6260250</v>
      </c>
      <c r="G5" s="25"/>
      <c r="H5" s="25"/>
      <c r="I5" s="25"/>
    </row>
    <row r="6" spans="1:2" ht="12.75">
      <c r="A6" t="s">
        <v>157</v>
      </c>
      <c r="B6" s="26">
        <f>1750000</f>
        <v>1750000</v>
      </c>
    </row>
    <row r="7" spans="1:13" ht="12.75">
      <c r="A7" s="141" t="s">
        <v>0</v>
      </c>
      <c r="B7" s="142"/>
      <c r="C7" s="143"/>
      <c r="D7" s="71"/>
      <c r="E7" s="69"/>
      <c r="F7" s="69"/>
      <c r="G7" s="31" t="s">
        <v>55</v>
      </c>
      <c r="H7" s="32"/>
      <c r="I7" s="32"/>
      <c r="J7" s="42"/>
      <c r="K7" s="32"/>
      <c r="L7" s="32"/>
      <c r="M7" s="90"/>
    </row>
    <row r="8" spans="1:10" ht="82.5" customHeight="1">
      <c r="A8" s="1" t="s">
        <v>1</v>
      </c>
      <c r="B8" s="20" t="s">
        <v>130</v>
      </c>
      <c r="C8" s="13" t="s">
        <v>131</v>
      </c>
      <c r="D8" s="88" t="s">
        <v>136</v>
      </c>
      <c r="E8" s="89"/>
      <c r="F8" s="89"/>
      <c r="G8" s="33"/>
      <c r="H8" s="34" t="s">
        <v>56</v>
      </c>
      <c r="I8" s="35" t="s">
        <v>149</v>
      </c>
      <c r="J8" s="36" t="s">
        <v>45</v>
      </c>
    </row>
    <row r="9" spans="1:10" ht="15.75">
      <c r="A9" s="21"/>
      <c r="B9" s="22"/>
      <c r="C9" s="27"/>
      <c r="D9" s="30"/>
      <c r="E9" s="89"/>
      <c r="F9" s="89"/>
      <c r="G9" s="47" t="s">
        <v>104</v>
      </c>
      <c r="H9" s="48">
        <f>7365000*0.85</f>
        <v>6260250</v>
      </c>
      <c r="I9" s="49">
        <f>H9/$H$14</f>
        <v>0.25040999749590004</v>
      </c>
      <c r="J9" s="50">
        <f>I9*$B$6</f>
        <v>438217.4956178251</v>
      </c>
    </row>
    <row r="10" spans="1:10" ht="12.75">
      <c r="A10" s="2">
        <v>2007</v>
      </c>
      <c r="B10" s="23">
        <v>3512400</v>
      </c>
      <c r="C10" s="28">
        <f aca="true" t="shared" si="0" ref="C10:C16">B10/$B$17</f>
        <v>0.07272574730188078</v>
      </c>
      <c r="D10" s="9">
        <f aca="true" t="shared" si="1" ref="D10:D16">C10*$B$5</f>
        <v>455281.35954659915</v>
      </c>
      <c r="E10" s="89"/>
      <c r="F10" s="89"/>
      <c r="G10" s="51" t="s">
        <v>105</v>
      </c>
      <c r="H10" s="38">
        <f>8461000*0.85</f>
        <v>7191850</v>
      </c>
      <c r="I10" s="39">
        <f>H10/$H$14</f>
        <v>0.28767399712326003</v>
      </c>
      <c r="J10" s="43">
        <f>I10*$B$6</f>
        <v>503429.49496570503</v>
      </c>
    </row>
    <row r="11" spans="1:10" ht="12.75">
      <c r="A11" s="2">
        <v>2008</v>
      </c>
      <c r="B11" s="23">
        <v>5141700</v>
      </c>
      <c r="C11" s="28">
        <f t="shared" si="0"/>
        <v>0.10646110206755506</v>
      </c>
      <c r="D11" s="9">
        <f t="shared" si="1"/>
        <v>666473.1142184116</v>
      </c>
      <c r="E11" s="89"/>
      <c r="F11" s="89"/>
      <c r="G11" s="37" t="s">
        <v>106</v>
      </c>
      <c r="H11" s="38">
        <f>8342000*0.85</f>
        <v>7090700</v>
      </c>
      <c r="I11" s="39">
        <f>H11/$H$14</f>
        <v>0.28362799716372</v>
      </c>
      <c r="J11" s="43">
        <f>I11*$B$6</f>
        <v>496348.99503651</v>
      </c>
    </row>
    <row r="12" spans="1:10" ht="12.75">
      <c r="A12" s="2">
        <v>2009</v>
      </c>
      <c r="B12" s="23">
        <v>7001019</v>
      </c>
      <c r="C12" s="28">
        <f t="shared" si="0"/>
        <v>0.1449590988069884</v>
      </c>
      <c r="D12" s="9">
        <f t="shared" si="1"/>
        <v>907480.1983064491</v>
      </c>
      <c r="E12" s="89"/>
      <c r="F12" s="89"/>
      <c r="G12" s="37" t="s">
        <v>107</v>
      </c>
      <c r="H12" s="38">
        <f>3169000*0.85</f>
        <v>2693650</v>
      </c>
      <c r="I12" s="39">
        <f>H12/$H$14</f>
        <v>0.10774599892254001</v>
      </c>
      <c r="J12" s="43">
        <f>I12*$B$6</f>
        <v>188555.498114445</v>
      </c>
    </row>
    <row r="13" spans="1:10" ht="12.75">
      <c r="A13" s="2">
        <v>2010</v>
      </c>
      <c r="B13" s="23">
        <v>7377256</v>
      </c>
      <c r="C13" s="28">
        <f t="shared" si="0"/>
        <v>0.1527492471350882</v>
      </c>
      <c r="D13" s="9">
        <f t="shared" si="1"/>
        <v>956248.4743774359</v>
      </c>
      <c r="E13" s="89"/>
      <c r="F13" s="89"/>
      <c r="G13" s="37" t="s">
        <v>108</v>
      </c>
      <c r="H13" s="38">
        <f>2074765*0.85</f>
        <v>1763550.25</v>
      </c>
      <c r="I13" s="39">
        <f>H13/$H$14</f>
        <v>0.0705420092945799</v>
      </c>
      <c r="J13" s="43">
        <f>I13*$B$6</f>
        <v>123448.51626551483</v>
      </c>
    </row>
    <row r="14" spans="1:10" ht="12.75">
      <c r="A14" s="2">
        <v>2011</v>
      </c>
      <c r="B14" s="23">
        <v>7898065</v>
      </c>
      <c r="C14" s="28">
        <f t="shared" si="0"/>
        <v>0.16353282068210598</v>
      </c>
      <c r="D14" s="9">
        <f t="shared" si="1"/>
        <v>1023756.340675154</v>
      </c>
      <c r="E14" s="89"/>
      <c r="F14" s="89"/>
      <c r="G14" s="33" t="s">
        <v>46</v>
      </c>
      <c r="H14" s="40">
        <f>SUM(H9:H13)</f>
        <v>25000000.25</v>
      </c>
      <c r="I14" s="41"/>
      <c r="J14" s="44">
        <f>SUM(J9:J13)</f>
        <v>1750000</v>
      </c>
    </row>
    <row r="15" spans="1:6" ht="12.75">
      <c r="A15" s="2">
        <v>2012</v>
      </c>
      <c r="B15" s="23">
        <v>8421780</v>
      </c>
      <c r="C15" s="28">
        <f t="shared" si="0"/>
        <v>0.17437656420454206</v>
      </c>
      <c r="D15" s="9">
        <f t="shared" si="1"/>
        <v>1091640.8860614845</v>
      </c>
      <c r="E15" s="89"/>
      <c r="F15" s="89"/>
    </row>
    <row r="16" spans="1:6" ht="12.75">
      <c r="A16" s="2">
        <v>2013</v>
      </c>
      <c r="B16" s="23">
        <v>8944293</v>
      </c>
      <c r="C16" s="28">
        <f t="shared" si="0"/>
        <v>0.1851954198018395</v>
      </c>
      <c r="D16" s="9">
        <f t="shared" si="1"/>
        <v>1159369.6268144657</v>
      </c>
      <c r="E16" s="89"/>
      <c r="F16" s="89"/>
    </row>
    <row r="17" spans="1:6" ht="12.75">
      <c r="A17" s="3" t="s">
        <v>3</v>
      </c>
      <c r="B17" s="24">
        <f>SUM(B10:B16)</f>
        <v>48296513</v>
      </c>
      <c r="C17" s="29"/>
      <c r="D17" s="10">
        <f>SUM(D10:D16)</f>
        <v>6260250</v>
      </c>
      <c r="E17" s="89"/>
      <c r="F17" s="89"/>
    </row>
    <row r="18" spans="5:6" ht="12.75">
      <c r="E18" s="89"/>
      <c r="F18" s="89"/>
    </row>
    <row r="20" ht="15.75">
      <c r="A20" s="25" t="s">
        <v>152</v>
      </c>
    </row>
    <row r="21" spans="1:15" ht="51">
      <c r="A21" s="77" t="s">
        <v>4</v>
      </c>
      <c r="B21" s="78" t="s">
        <v>5</v>
      </c>
      <c r="C21" s="78" t="s">
        <v>6</v>
      </c>
      <c r="D21" s="78" t="s">
        <v>7</v>
      </c>
      <c r="E21" s="119" t="s">
        <v>182</v>
      </c>
      <c r="F21" s="119" t="s">
        <v>139</v>
      </c>
      <c r="G21" s="119" t="s">
        <v>138</v>
      </c>
      <c r="H21" s="119" t="s">
        <v>141</v>
      </c>
      <c r="I21" s="119" t="s">
        <v>142</v>
      </c>
      <c r="J21" s="119" t="s">
        <v>147</v>
      </c>
      <c r="K21" s="119" t="s">
        <v>183</v>
      </c>
      <c r="L21" s="119" t="s">
        <v>146</v>
      </c>
      <c r="M21" s="119" t="s">
        <v>144</v>
      </c>
      <c r="N21" s="12"/>
      <c r="O21" s="12"/>
    </row>
    <row r="22" spans="1:13" ht="12.75">
      <c r="A22" s="71"/>
      <c r="B22" s="79"/>
      <c r="C22" s="79"/>
      <c r="D22" s="79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2.75">
      <c r="A23" s="82" t="s">
        <v>8</v>
      </c>
      <c r="B23" s="83">
        <v>0</v>
      </c>
      <c r="C23" s="83">
        <v>0</v>
      </c>
      <c r="D23" s="83">
        <v>0</v>
      </c>
      <c r="E23" s="81"/>
      <c r="F23" s="81"/>
      <c r="G23" s="81"/>
      <c r="H23" s="81"/>
      <c r="I23" s="81"/>
      <c r="J23" s="81"/>
      <c r="K23" s="81"/>
      <c r="L23" s="81"/>
      <c r="M23" s="81">
        <f>'Call CCU'!M48</f>
        <v>0</v>
      </c>
    </row>
    <row r="24" spans="1:13" ht="12.75">
      <c r="A24" s="82" t="s">
        <v>9</v>
      </c>
      <c r="B24" s="83">
        <v>0</v>
      </c>
      <c r="C24" s="83">
        <v>0</v>
      </c>
      <c r="D24" s="83">
        <v>0</v>
      </c>
      <c r="E24" s="81"/>
      <c r="F24" s="81"/>
      <c r="G24" s="81"/>
      <c r="H24" s="81"/>
      <c r="I24" s="81"/>
      <c r="J24" s="81"/>
      <c r="K24" s="81"/>
      <c r="L24" s="81"/>
      <c r="M24" s="81">
        <f>'Call CCU'!M49</f>
        <v>0</v>
      </c>
    </row>
    <row r="25" spans="1:13" ht="12.75">
      <c r="A25" s="82" t="s">
        <v>10</v>
      </c>
      <c r="B25" s="83">
        <v>0</v>
      </c>
      <c r="C25" s="83">
        <v>0</v>
      </c>
      <c r="D25" s="83">
        <v>0</v>
      </c>
      <c r="E25" s="81"/>
      <c r="F25" s="81"/>
      <c r="G25" s="81"/>
      <c r="H25" s="81"/>
      <c r="I25" s="81"/>
      <c r="J25" s="81"/>
      <c r="K25" s="81"/>
      <c r="L25" s="81"/>
      <c r="M25" s="81">
        <f>'Call CCU'!M50</f>
        <v>0</v>
      </c>
    </row>
    <row r="26" spans="1:13" ht="12.75">
      <c r="A26" s="82" t="s">
        <v>11</v>
      </c>
      <c r="B26" s="83">
        <f>D10</f>
        <v>455281.35954659915</v>
      </c>
      <c r="C26" s="83">
        <v>0</v>
      </c>
      <c r="D26" s="83">
        <v>0</v>
      </c>
      <c r="E26" s="81">
        <f>'Call CCU'!E51</f>
        <v>1337648</v>
      </c>
      <c r="F26" s="81">
        <f>'Call CCU'!F51</f>
        <v>0</v>
      </c>
      <c r="G26" s="81">
        <f>'Call CCU'!G51</f>
        <v>0</v>
      </c>
      <c r="H26" s="81">
        <f>'Call CCU'!H51</f>
        <v>0</v>
      </c>
      <c r="I26" s="81">
        <f>'Call CCU'!I51</f>
        <v>0</v>
      </c>
      <c r="J26" s="81">
        <f>'Call CCU'!J51</f>
        <v>0</v>
      </c>
      <c r="K26" s="81">
        <f>'Call CCU'!K51</f>
        <v>0</v>
      </c>
      <c r="L26" s="81">
        <f>'Call CCU'!L51</f>
        <v>0</v>
      </c>
      <c r="M26" s="81">
        <f>'Call CCU'!M51</f>
        <v>0</v>
      </c>
    </row>
    <row r="27" spans="1:13" ht="12.75">
      <c r="A27" s="82" t="s">
        <v>12</v>
      </c>
      <c r="B27" s="83">
        <f>B26+D11</f>
        <v>1121754.4737650107</v>
      </c>
      <c r="C27" s="83">
        <v>0</v>
      </c>
      <c r="D27" s="83">
        <v>0</v>
      </c>
      <c r="E27" s="81">
        <f>'Call CCU'!E52</f>
        <v>1337648</v>
      </c>
      <c r="F27" s="81"/>
      <c r="G27" s="81"/>
      <c r="H27" s="81">
        <f>'Call CCU'!H52</f>
        <v>0</v>
      </c>
      <c r="I27" s="81"/>
      <c r="J27" s="81"/>
      <c r="K27" s="81"/>
      <c r="L27" s="81"/>
      <c r="M27" s="81">
        <f>'Call CCU'!M52</f>
        <v>0</v>
      </c>
    </row>
    <row r="28" spans="1:13" ht="12.75">
      <c r="A28" s="82" t="s">
        <v>13</v>
      </c>
      <c r="B28" s="83">
        <f>B27</f>
        <v>1121754.4737650107</v>
      </c>
      <c r="C28" s="83">
        <v>0</v>
      </c>
      <c r="D28" s="83">
        <v>0</v>
      </c>
      <c r="E28" s="81">
        <f>'Call CCU'!E53</f>
        <v>1337648</v>
      </c>
      <c r="F28" s="81"/>
      <c r="G28" s="81"/>
      <c r="H28" s="81">
        <f>'Call CCU'!H53</f>
        <v>0</v>
      </c>
      <c r="I28" s="81"/>
      <c r="J28" s="81"/>
      <c r="K28" s="81"/>
      <c r="L28" s="81"/>
      <c r="M28" s="81">
        <f>'Call CCU'!M53</f>
        <v>0</v>
      </c>
    </row>
    <row r="29" spans="1:13" ht="12.75">
      <c r="A29" s="82" t="s">
        <v>14</v>
      </c>
      <c r="B29" s="83">
        <f>B28</f>
        <v>1121754.4737650107</v>
      </c>
      <c r="C29" s="83">
        <v>0</v>
      </c>
      <c r="D29" s="83">
        <v>0</v>
      </c>
      <c r="E29" s="81">
        <f>'Call CCU'!E54</f>
        <v>1337648</v>
      </c>
      <c r="F29" s="81"/>
      <c r="G29" s="81"/>
      <c r="H29" s="81">
        <f>'Call CCU'!H54</f>
        <v>83603</v>
      </c>
      <c r="I29" s="81"/>
      <c r="J29" s="81"/>
      <c r="K29" s="81"/>
      <c r="L29" s="81"/>
      <c r="M29" s="81">
        <f>'Call CCU'!M54</f>
        <v>0</v>
      </c>
    </row>
    <row r="30" spans="1:13" ht="12.75">
      <c r="A30" s="82" t="s">
        <v>15</v>
      </c>
      <c r="B30" s="83">
        <f>B29</f>
        <v>1121754.4737650107</v>
      </c>
      <c r="C30" s="83">
        <v>0</v>
      </c>
      <c r="D30" s="83">
        <v>0</v>
      </c>
      <c r="E30" s="81">
        <f>'Call CCU'!E55</f>
        <v>1337648</v>
      </c>
      <c r="F30" s="81"/>
      <c r="G30" s="81"/>
      <c r="H30" s="81">
        <f>'Call CCU'!H55</f>
        <v>334412</v>
      </c>
      <c r="I30" s="81"/>
      <c r="J30" s="81"/>
      <c r="K30" s="81"/>
      <c r="L30" s="81"/>
      <c r="M30" s="81">
        <f>'Call CCU'!M55</f>
        <v>0</v>
      </c>
    </row>
    <row r="31" spans="1:13" ht="12.75">
      <c r="A31" s="82" t="s">
        <v>16</v>
      </c>
      <c r="B31" s="83">
        <f>B30+D12</f>
        <v>2029234.6720714597</v>
      </c>
      <c r="C31" s="83">
        <v>0</v>
      </c>
      <c r="D31" s="83">
        <v>0</v>
      </c>
      <c r="E31" s="81">
        <f>'Call CCU'!E56</f>
        <v>1337648</v>
      </c>
      <c r="F31" s="81"/>
      <c r="G31" s="81"/>
      <c r="H31" s="81">
        <f>'Call CCU'!H56</f>
        <v>601941.6000000001</v>
      </c>
      <c r="I31" s="81"/>
      <c r="J31" s="81"/>
      <c r="K31" s="81"/>
      <c r="L31" s="81"/>
      <c r="M31" s="81">
        <f>'Call CCU'!M56</f>
        <v>0</v>
      </c>
    </row>
    <row r="32" spans="1:13" ht="12.75">
      <c r="A32" s="82" t="s">
        <v>17</v>
      </c>
      <c r="B32" s="83">
        <f>B31</f>
        <v>2029234.6720714597</v>
      </c>
      <c r="C32" s="83">
        <v>0</v>
      </c>
      <c r="D32" s="83">
        <v>0</v>
      </c>
      <c r="E32" s="81">
        <f>'Call CCU'!E57</f>
        <v>1337648</v>
      </c>
      <c r="F32" s="81"/>
      <c r="G32" s="81"/>
      <c r="H32" s="81">
        <f>'Call CCU'!H57</f>
        <v>869471.2000000002</v>
      </c>
      <c r="I32" s="81"/>
      <c r="J32" s="81"/>
      <c r="K32" s="81">
        <f>'Call CCU'!M57</f>
        <v>334412</v>
      </c>
      <c r="L32" s="81"/>
      <c r="M32" s="81"/>
    </row>
    <row r="33" spans="1:13" ht="12.75">
      <c r="A33" s="82" t="s">
        <v>18</v>
      </c>
      <c r="B33" s="83">
        <f>B32</f>
        <v>2029234.6720714597</v>
      </c>
      <c r="C33" s="83">
        <v>0</v>
      </c>
      <c r="D33" s="83">
        <v>0</v>
      </c>
      <c r="E33" s="81">
        <f>'Call CCU'!E58</f>
        <v>1337648</v>
      </c>
      <c r="F33" s="81"/>
      <c r="G33" s="81"/>
      <c r="H33" s="81">
        <f>'Call CCU'!H58</f>
        <v>1070118.4000000001</v>
      </c>
      <c r="I33" s="81"/>
      <c r="J33" s="81"/>
      <c r="K33" s="81">
        <f>'Call CCU'!M58</f>
        <v>601941.6000000001</v>
      </c>
      <c r="L33" s="81"/>
      <c r="M33" s="81"/>
    </row>
    <row r="34" spans="1:13" ht="12.75">
      <c r="A34" s="82" t="s">
        <v>19</v>
      </c>
      <c r="B34" s="83">
        <f>B33</f>
        <v>2029234.6720714597</v>
      </c>
      <c r="C34" s="83">
        <v>0</v>
      </c>
      <c r="D34" s="83">
        <v>0</v>
      </c>
      <c r="E34" s="81">
        <f>'Call CCU'!E59</f>
        <v>3166435.8006626344</v>
      </c>
      <c r="F34" s="81"/>
      <c r="G34" s="81"/>
      <c r="H34" s="81">
        <f>'Call CCU'!H59</f>
        <v>1337648.0000000002</v>
      </c>
      <c r="I34" s="81"/>
      <c r="J34" s="81"/>
      <c r="K34" s="81">
        <f>'Call CCU'!M59</f>
        <v>869471.2000000002</v>
      </c>
      <c r="L34" s="81"/>
      <c r="M34" s="81"/>
    </row>
    <row r="35" spans="1:13" ht="12.75">
      <c r="A35" s="82" t="s">
        <v>20</v>
      </c>
      <c r="B35" s="83">
        <f>B34+D13</f>
        <v>2985483.1464488953</v>
      </c>
      <c r="C35" s="83">
        <v>0</v>
      </c>
      <c r="D35" s="83">
        <v>0</v>
      </c>
      <c r="E35" s="81">
        <f>'Call CCU'!E60</f>
        <v>3166435.8006626344</v>
      </c>
      <c r="F35" s="81"/>
      <c r="G35" s="81"/>
      <c r="H35" s="81">
        <f>'Call CCU'!H60</f>
        <v>1520526.7800662636</v>
      </c>
      <c r="I35" s="81"/>
      <c r="J35" s="81"/>
      <c r="K35" s="81">
        <f>'Call CCU'!M60</f>
        <v>1070118.4000000001</v>
      </c>
      <c r="L35" s="81"/>
      <c r="M35" s="81"/>
    </row>
    <row r="36" spans="1:13" ht="12.75">
      <c r="A36" s="82" t="s">
        <v>21</v>
      </c>
      <c r="B36" s="83">
        <f>B35</f>
        <v>2985483.1464488953</v>
      </c>
      <c r="C36" s="83">
        <v>0</v>
      </c>
      <c r="D36" s="83">
        <v>0</v>
      </c>
      <c r="E36" s="81">
        <f>'Call CCU'!E61</f>
        <v>3166435.8006626344</v>
      </c>
      <c r="F36" s="81"/>
      <c r="G36" s="81"/>
      <c r="H36" s="81">
        <f>'Call CCU'!H61</f>
        <v>1703405.560132527</v>
      </c>
      <c r="I36" s="81"/>
      <c r="J36" s="81"/>
      <c r="K36" s="81">
        <f>'Call CCU'!M61</f>
        <v>1337648.0000000002</v>
      </c>
      <c r="L36" s="81"/>
      <c r="M36" s="81"/>
    </row>
    <row r="37" spans="1:13" ht="12.75">
      <c r="A37" s="82" t="s">
        <v>22</v>
      </c>
      <c r="B37" s="83">
        <f>B36</f>
        <v>2985483.1464488953</v>
      </c>
      <c r="C37" s="83">
        <v>0</v>
      </c>
      <c r="D37" s="83">
        <v>0</v>
      </c>
      <c r="E37" s="81">
        <f>'Call CCU'!E62</f>
        <v>3166435.8006626344</v>
      </c>
      <c r="F37" s="81"/>
      <c r="G37" s="81"/>
      <c r="H37" s="81">
        <f>'Call CCU'!H62</f>
        <v>1886284.3401987904</v>
      </c>
      <c r="I37" s="81"/>
      <c r="J37" s="81"/>
      <c r="K37" s="81">
        <f>'Call CCU'!M62</f>
        <v>1520526.7800662636</v>
      </c>
      <c r="L37" s="81"/>
      <c r="M37" s="81"/>
    </row>
    <row r="38" spans="1:13" ht="12.75">
      <c r="A38" s="82" t="s">
        <v>23</v>
      </c>
      <c r="B38" s="83">
        <f>B37</f>
        <v>2985483.1464488953</v>
      </c>
      <c r="C38" s="83">
        <f>B26</f>
        <v>455281.35954659915</v>
      </c>
      <c r="D38" s="83">
        <f aca="true" t="shared" si="2" ref="D38:D57">C38-$J$9</f>
        <v>17063.86392877408</v>
      </c>
      <c r="E38" s="81">
        <f>'Call CCU'!E63</f>
        <v>3166435.8006626344</v>
      </c>
      <c r="F38" s="81"/>
      <c r="G38" s="81"/>
      <c r="H38" s="81">
        <f>'Call CCU'!H63</f>
        <v>2069163.1202650538</v>
      </c>
      <c r="I38" s="81"/>
      <c r="J38" s="81"/>
      <c r="K38" s="81">
        <f>'Call CCU'!M63</f>
        <v>1703405.560132527</v>
      </c>
      <c r="L38" s="81"/>
      <c r="M38" s="81"/>
    </row>
    <row r="39" spans="1:13" ht="12.75">
      <c r="A39" s="82" t="s">
        <v>24</v>
      </c>
      <c r="B39" s="83">
        <f>B38+D14</f>
        <v>4009239.487124049</v>
      </c>
      <c r="C39" s="83">
        <f>C38</f>
        <v>455281.35954659915</v>
      </c>
      <c r="D39" s="83">
        <f t="shared" si="2"/>
        <v>17063.86392877408</v>
      </c>
      <c r="E39" s="81">
        <f>'Call CCU'!E64</f>
        <v>3166435.8006626344</v>
      </c>
      <c r="F39" s="81"/>
      <c r="G39" s="81"/>
      <c r="H39" s="81">
        <f>'Call CCU'!H64</f>
        <v>2343481.290364449</v>
      </c>
      <c r="I39" s="81"/>
      <c r="J39" s="81"/>
      <c r="K39" s="81">
        <f>'Call CCU'!M64</f>
        <v>1886284.3401987904</v>
      </c>
      <c r="L39" s="81"/>
      <c r="M39" s="81"/>
    </row>
    <row r="40" spans="1:13" ht="12.75">
      <c r="A40" s="82" t="s">
        <v>25</v>
      </c>
      <c r="B40" s="83">
        <f>B39</f>
        <v>4009239.487124049</v>
      </c>
      <c r="C40" s="83">
        <f>C39</f>
        <v>455281.35954659915</v>
      </c>
      <c r="D40" s="83">
        <f t="shared" si="2"/>
        <v>17063.86392877408</v>
      </c>
      <c r="E40" s="81">
        <f>'Call CCU'!E65</f>
        <v>3166435.8006626344</v>
      </c>
      <c r="F40" s="81"/>
      <c r="G40" s="81"/>
      <c r="H40" s="81">
        <f>'Call CCU'!H65</f>
        <v>2617799.4604638442</v>
      </c>
      <c r="I40" s="81"/>
      <c r="J40" s="81"/>
      <c r="K40" s="81">
        <f>'Call CCU'!M65</f>
        <v>2069163.1202650538</v>
      </c>
      <c r="L40" s="81"/>
      <c r="M40" s="81"/>
    </row>
    <row r="41" spans="1:13" ht="12.75">
      <c r="A41" s="82" t="s">
        <v>26</v>
      </c>
      <c r="B41" s="83">
        <f>B40</f>
        <v>4009239.487124049</v>
      </c>
      <c r="C41" s="83">
        <f>C40</f>
        <v>455281.35954659915</v>
      </c>
      <c r="D41" s="83">
        <f t="shared" si="2"/>
        <v>17063.86392877408</v>
      </c>
      <c r="E41" s="81">
        <f>'Call CCU'!E66</f>
        <v>3166435.8006626344</v>
      </c>
      <c r="F41" s="81"/>
      <c r="G41" s="81"/>
      <c r="H41" s="81">
        <f>'Call CCU'!H66</f>
        <v>2892117.6305632396</v>
      </c>
      <c r="I41" s="81"/>
      <c r="J41" s="81"/>
      <c r="K41" s="81">
        <f>'Call CCU'!M66</f>
        <v>2343481.290364449</v>
      </c>
      <c r="L41" s="81"/>
      <c r="M41" s="81"/>
    </row>
    <row r="42" spans="1:13" ht="12.75">
      <c r="A42" s="82" t="s">
        <v>27</v>
      </c>
      <c r="B42" s="83">
        <f>B41</f>
        <v>4009239.487124049</v>
      </c>
      <c r="C42" s="83">
        <f>B27</f>
        <v>1121754.4737650107</v>
      </c>
      <c r="D42" s="83">
        <f t="shared" si="2"/>
        <v>683536.9781471856</v>
      </c>
      <c r="E42" s="81">
        <f>'Call CCU'!E67</f>
        <v>4995224.601325269</v>
      </c>
      <c r="F42" s="81"/>
      <c r="G42" s="81"/>
      <c r="H42" s="81">
        <f>'Call CCU'!H67</f>
        <v>3166435.800662635</v>
      </c>
      <c r="I42" s="81"/>
      <c r="J42" s="81"/>
      <c r="K42" s="81">
        <f>'Call CCU'!M67</f>
        <v>2617799.4604638442</v>
      </c>
      <c r="L42" s="81"/>
      <c r="M42" s="81"/>
    </row>
    <row r="43" spans="1:13" ht="12.75">
      <c r="A43" s="82" t="s">
        <v>28</v>
      </c>
      <c r="B43" s="83">
        <f>B42+D15</f>
        <v>5100880.373185534</v>
      </c>
      <c r="C43" s="83">
        <f>C42</f>
        <v>1121754.4737650107</v>
      </c>
      <c r="D43" s="83">
        <f t="shared" si="2"/>
        <v>683536.9781471856</v>
      </c>
      <c r="E43" s="81">
        <f>'Call CCU'!E68</f>
        <v>4995224.601325269</v>
      </c>
      <c r="F43" s="81"/>
      <c r="G43" s="81"/>
      <c r="H43" s="81">
        <f>'Call CCU'!H68</f>
        <v>3349314.6807288984</v>
      </c>
      <c r="I43" s="81"/>
      <c r="J43" s="81"/>
      <c r="K43" s="81">
        <f>'Call CCU'!M68</f>
        <v>2892117.6305632396</v>
      </c>
      <c r="L43" s="81"/>
      <c r="M43" s="81"/>
    </row>
    <row r="44" spans="1:13" ht="12.75">
      <c r="A44" s="82" t="s">
        <v>29</v>
      </c>
      <c r="B44" s="83">
        <f>B43</f>
        <v>5100880.373185534</v>
      </c>
      <c r="C44" s="83">
        <f>C43</f>
        <v>1121754.4737650107</v>
      </c>
      <c r="D44" s="83">
        <f t="shared" si="2"/>
        <v>683536.9781471856</v>
      </c>
      <c r="E44" s="81">
        <f>'Call CCU'!E69</f>
        <v>4995224.601325269</v>
      </c>
      <c r="F44" s="81"/>
      <c r="G44" s="81"/>
      <c r="H44" s="81">
        <f>'Call CCU'!H69</f>
        <v>3623633.0008282936</v>
      </c>
      <c r="I44" s="81"/>
      <c r="J44" s="81"/>
      <c r="K44" s="81">
        <f>'Call CCU'!M69</f>
        <v>3166435.800662635</v>
      </c>
      <c r="L44" s="81"/>
      <c r="M44" s="81"/>
    </row>
    <row r="45" spans="1:13" ht="12.75">
      <c r="A45" s="82" t="s">
        <v>30</v>
      </c>
      <c r="B45" s="83">
        <f>B44</f>
        <v>5100880.373185534</v>
      </c>
      <c r="C45" s="83">
        <f>C44</f>
        <v>1121754.4737650107</v>
      </c>
      <c r="D45" s="83">
        <f t="shared" si="2"/>
        <v>683536.9781471856</v>
      </c>
      <c r="E45" s="81">
        <f>'Call CCU'!E70</f>
        <v>4995224.601325269</v>
      </c>
      <c r="F45" s="81"/>
      <c r="G45" s="81"/>
      <c r="H45" s="81">
        <f>'Call CCU'!H70</f>
        <v>3897951.320927689</v>
      </c>
      <c r="I45" s="81"/>
      <c r="J45" s="81"/>
      <c r="K45" s="81">
        <f>'Call CCU'!M70</f>
        <v>3349314.6807288984</v>
      </c>
      <c r="L45" s="81"/>
      <c r="M45" s="81"/>
    </row>
    <row r="46" spans="1:13" ht="12.75">
      <c r="A46" s="82" t="s">
        <v>31</v>
      </c>
      <c r="B46" s="83">
        <f>B45</f>
        <v>5100880.373185534</v>
      </c>
      <c r="C46" s="83">
        <f>B34</f>
        <v>2029234.6720714597</v>
      </c>
      <c r="D46" s="83">
        <f t="shared" si="2"/>
        <v>1591017.1764536346</v>
      </c>
      <c r="E46" s="81">
        <f>'Call CCU'!E71</f>
        <v>4995224.601325269</v>
      </c>
      <c r="F46" s="81"/>
      <c r="G46" s="81"/>
      <c r="H46" s="81">
        <f>'Call CCU'!H71</f>
        <v>4172269.641027084</v>
      </c>
      <c r="I46" s="81"/>
      <c r="J46" s="81"/>
      <c r="K46" s="81">
        <f>'Call CCU'!M71</f>
        <v>3623633.0008282936</v>
      </c>
      <c r="L46" s="81"/>
      <c r="M46" s="81"/>
    </row>
    <row r="47" spans="1:13" ht="12.75">
      <c r="A47" s="82" t="s">
        <v>32</v>
      </c>
      <c r="B47" s="83">
        <f>B46+D16</f>
        <v>6260250</v>
      </c>
      <c r="C47" s="83">
        <f>C46</f>
        <v>2029234.6720714597</v>
      </c>
      <c r="D47" s="83">
        <f t="shared" si="2"/>
        <v>1591017.1764536346</v>
      </c>
      <c r="E47" s="81">
        <f>'Call CCU'!E72</f>
        <v>4995224.601325269</v>
      </c>
      <c r="F47" s="81"/>
      <c r="G47" s="81"/>
      <c r="H47" s="81">
        <f>'Call CCU'!H72</f>
        <v>4446587.961126479</v>
      </c>
      <c r="I47" s="81"/>
      <c r="J47" s="81"/>
      <c r="K47" s="81">
        <f>'Call CCU'!M72</f>
        <v>3897951.320927689</v>
      </c>
      <c r="L47" s="81"/>
      <c r="M47" s="81"/>
    </row>
    <row r="48" spans="1:13" ht="12.75">
      <c r="A48" s="82" t="s">
        <v>33</v>
      </c>
      <c r="B48" s="83">
        <f aca="true" t="shared" si="3" ref="B48:B58">$B$47</f>
        <v>6260250</v>
      </c>
      <c r="C48" s="83">
        <f>C47</f>
        <v>2029234.6720714597</v>
      </c>
      <c r="D48" s="83">
        <f t="shared" si="2"/>
        <v>1591017.1764536346</v>
      </c>
      <c r="E48" s="81">
        <f>'Call CCU'!E73</f>
        <v>6260249.705756635</v>
      </c>
      <c r="F48" s="81"/>
      <c r="G48" s="81"/>
      <c r="H48" s="81">
        <f>'Call CCU'!H73</f>
        <v>4629466.841192743</v>
      </c>
      <c r="I48" s="81"/>
      <c r="J48" s="81"/>
      <c r="K48" s="81">
        <f>'Call CCU'!M73</f>
        <v>4172269.641027084</v>
      </c>
      <c r="L48" s="81"/>
      <c r="M48" s="81"/>
    </row>
    <row r="49" spans="1:13" ht="12.75">
      <c r="A49" s="82" t="s">
        <v>34</v>
      </c>
      <c r="B49" s="83">
        <f t="shared" si="3"/>
        <v>6260250</v>
      </c>
      <c r="C49" s="83">
        <f>C48</f>
        <v>2029234.6720714597</v>
      </c>
      <c r="D49" s="83">
        <f t="shared" si="2"/>
        <v>1591017.1764536346</v>
      </c>
      <c r="E49" s="81">
        <f>'Call CCU'!E74</f>
        <v>6260249.705756635</v>
      </c>
      <c r="F49" s="81"/>
      <c r="G49" s="81"/>
      <c r="H49" s="81">
        <f>'Call CCU'!H74</f>
        <v>4812345.721259006</v>
      </c>
      <c r="I49" s="81"/>
      <c r="J49" s="81"/>
      <c r="K49" s="81">
        <f>'Call CCU'!M74</f>
        <v>4446587.961126479</v>
      </c>
      <c r="L49" s="81"/>
      <c r="M49" s="81"/>
    </row>
    <row r="50" spans="1:13" ht="12.75">
      <c r="A50" s="82" t="s">
        <v>35</v>
      </c>
      <c r="B50" s="83">
        <f t="shared" si="3"/>
        <v>6260250</v>
      </c>
      <c r="C50" s="83">
        <f>B35+D14</f>
        <v>4009239.487124049</v>
      </c>
      <c r="D50" s="83">
        <f t="shared" si="2"/>
        <v>3571021.991506224</v>
      </c>
      <c r="E50" s="81">
        <f>'Call CCU'!E75</f>
        <v>6260249.705756635</v>
      </c>
      <c r="F50" s="81"/>
      <c r="G50" s="81"/>
      <c r="H50" s="81">
        <f>'Call CCU'!H75</f>
        <v>4995224.60132527</v>
      </c>
      <c r="I50" s="81"/>
      <c r="J50" s="81"/>
      <c r="K50" s="81">
        <f>'Call CCU'!M75</f>
        <v>4629466.841192743</v>
      </c>
      <c r="L50" s="81"/>
      <c r="M50" s="81"/>
    </row>
    <row r="51" spans="1:13" ht="12.75">
      <c r="A51" s="82" t="s">
        <v>36</v>
      </c>
      <c r="B51" s="83">
        <f t="shared" si="3"/>
        <v>6260250</v>
      </c>
      <c r="C51" s="83">
        <f>C50</f>
        <v>4009239.487124049</v>
      </c>
      <c r="D51" s="83">
        <f t="shared" si="2"/>
        <v>3571021.991506224</v>
      </c>
      <c r="E51" s="81">
        <f>'Call CCU'!E76</f>
        <v>6260249.705756635</v>
      </c>
      <c r="F51" s="81"/>
      <c r="G51" s="81"/>
      <c r="H51" s="81">
        <f>'Call CCU'!H76</f>
        <v>5184978.366989975</v>
      </c>
      <c r="I51" s="81"/>
      <c r="J51" s="81"/>
      <c r="K51" s="81">
        <f>'Call CCU'!M76</f>
        <v>4812345.721259006</v>
      </c>
      <c r="L51" s="81"/>
      <c r="M51" s="81"/>
    </row>
    <row r="52" spans="1:13" ht="12.75">
      <c r="A52" s="82" t="s">
        <v>37</v>
      </c>
      <c r="B52" s="83">
        <f t="shared" si="3"/>
        <v>6260250</v>
      </c>
      <c r="C52" s="83">
        <f>C51</f>
        <v>4009239.487124049</v>
      </c>
      <c r="D52" s="83">
        <f t="shared" si="2"/>
        <v>3571021.991506224</v>
      </c>
      <c r="E52" s="81">
        <f>'Call CCU'!E77</f>
        <v>6260249.705756635</v>
      </c>
      <c r="F52" s="81"/>
      <c r="G52" s="81"/>
      <c r="H52" s="81">
        <f>'Call CCU'!H77</f>
        <v>5374732.13265468</v>
      </c>
      <c r="I52" s="81"/>
      <c r="J52" s="81"/>
      <c r="K52" s="81">
        <f>'Call CCU'!M77</f>
        <v>4995224.60132527</v>
      </c>
      <c r="L52" s="81"/>
      <c r="M52" s="81"/>
    </row>
    <row r="53" spans="1:13" ht="12.75">
      <c r="A53" s="82" t="s">
        <v>38</v>
      </c>
      <c r="B53" s="83">
        <f t="shared" si="3"/>
        <v>6260250</v>
      </c>
      <c r="C53" s="83">
        <f>C52</f>
        <v>4009239.487124049</v>
      </c>
      <c r="D53" s="83">
        <f t="shared" si="2"/>
        <v>3571021.991506224</v>
      </c>
      <c r="E53" s="81">
        <f>'Call CCU'!E78</f>
        <v>6260249.705756635</v>
      </c>
      <c r="F53" s="81"/>
      <c r="G53" s="81"/>
      <c r="H53" s="81">
        <f>'Call CCU'!H78</f>
        <v>5564485.898319385</v>
      </c>
      <c r="I53" s="81"/>
      <c r="J53" s="81"/>
      <c r="K53" s="81">
        <f>'Call CCU'!M78</f>
        <v>5184978.366989975</v>
      </c>
      <c r="L53" s="81"/>
      <c r="M53" s="81"/>
    </row>
    <row r="54" spans="1:13" ht="12.75">
      <c r="A54" s="82" t="s">
        <v>39</v>
      </c>
      <c r="B54" s="83">
        <f t="shared" si="3"/>
        <v>6260250</v>
      </c>
      <c r="C54" s="83">
        <f>B46</f>
        <v>5100880.373185534</v>
      </c>
      <c r="D54" s="83">
        <f t="shared" si="2"/>
        <v>4662662.8775677085</v>
      </c>
      <c r="E54" s="81">
        <f>'Call CCU'!E79</f>
        <v>6260249.705756635</v>
      </c>
      <c r="F54" s="81"/>
      <c r="G54" s="81"/>
      <c r="H54" s="81">
        <f>'Call CCU'!H79</f>
        <v>5754239.66398409</v>
      </c>
      <c r="I54" s="81"/>
      <c r="J54" s="81"/>
      <c r="K54" s="81">
        <f>'Call CCU'!M79</f>
        <v>5374732.13265468</v>
      </c>
      <c r="L54" s="81"/>
      <c r="M54" s="81"/>
    </row>
    <row r="55" spans="1:13" ht="12.75">
      <c r="A55" s="82" t="s">
        <v>40</v>
      </c>
      <c r="B55" s="83">
        <f t="shared" si="3"/>
        <v>6260250</v>
      </c>
      <c r="C55" s="83">
        <f>C54</f>
        <v>5100880.373185534</v>
      </c>
      <c r="D55" s="83">
        <f t="shared" si="2"/>
        <v>4662662.8775677085</v>
      </c>
      <c r="E55" s="81">
        <f>'Call CCU'!E80</f>
        <v>6260249.705756635</v>
      </c>
      <c r="F55" s="81"/>
      <c r="G55" s="81"/>
      <c r="H55" s="81">
        <f>'Call CCU'!H80</f>
        <v>5943993.429648795</v>
      </c>
      <c r="I55" s="81"/>
      <c r="J55" s="81"/>
      <c r="K55" s="81">
        <f>'Call CCU'!M80</f>
        <v>5564485.898319385</v>
      </c>
      <c r="L55" s="81"/>
      <c r="M55" s="81"/>
    </row>
    <row r="56" spans="1:13" ht="12.75">
      <c r="A56" s="82" t="s">
        <v>41</v>
      </c>
      <c r="B56" s="83">
        <f t="shared" si="3"/>
        <v>6260250</v>
      </c>
      <c r="C56" s="83">
        <f>C55</f>
        <v>5100880.373185534</v>
      </c>
      <c r="D56" s="83">
        <f t="shared" si="2"/>
        <v>4662662.8775677085</v>
      </c>
      <c r="E56" s="81">
        <f>'Call CCU'!E81</f>
        <v>6260249.705756635</v>
      </c>
      <c r="F56" s="81"/>
      <c r="G56" s="81"/>
      <c r="H56" s="81">
        <f>'Call CCU'!H81</f>
        <v>6260249.705756637</v>
      </c>
      <c r="I56" s="81"/>
      <c r="J56" s="81"/>
      <c r="K56" s="81">
        <f>'Call CCU'!M81</f>
        <v>5754239.66398409</v>
      </c>
      <c r="L56" s="81"/>
      <c r="M56" s="81"/>
    </row>
    <row r="57" spans="1:13" ht="12.75">
      <c r="A57" s="82" t="s">
        <v>42</v>
      </c>
      <c r="B57" s="83">
        <f t="shared" si="3"/>
        <v>6260250</v>
      </c>
      <c r="C57" s="83">
        <f>C56</f>
        <v>5100880.373185534</v>
      </c>
      <c r="D57" s="83">
        <f t="shared" si="2"/>
        <v>4662662.8775677085</v>
      </c>
      <c r="E57" s="81">
        <f>'Call CCU'!E82</f>
        <v>6260249.705756635</v>
      </c>
      <c r="F57" s="81"/>
      <c r="G57" s="81"/>
      <c r="H57" s="81">
        <f>'Call CCU'!H82</f>
        <v>6260249.705756637</v>
      </c>
      <c r="I57" s="81"/>
      <c r="J57" s="81"/>
      <c r="K57" s="81">
        <f>'Call CCU'!M82</f>
        <v>5943993.429648795</v>
      </c>
      <c r="L57" s="81"/>
      <c r="M57" s="81"/>
    </row>
    <row r="58" spans="1:13" ht="12.75">
      <c r="A58" s="82" t="s">
        <v>43</v>
      </c>
      <c r="B58" s="83">
        <f t="shared" si="3"/>
        <v>6260250</v>
      </c>
      <c r="C58" s="83">
        <f>B47</f>
        <v>6260250</v>
      </c>
      <c r="D58" s="83">
        <f>C58</f>
        <v>6260250</v>
      </c>
      <c r="E58" s="81">
        <f>'Call CCU'!E83</f>
        <v>6260249.705756635</v>
      </c>
      <c r="F58" s="81"/>
      <c r="G58" s="81"/>
      <c r="H58" s="81">
        <f>'Call CCU'!H83</f>
        <v>6260249.705756637</v>
      </c>
      <c r="I58" s="81"/>
      <c r="J58" s="81"/>
      <c r="K58" s="81">
        <f>'Call CCU'!M83</f>
        <v>6260249.705756637</v>
      </c>
      <c r="L58" s="81"/>
      <c r="M58" s="81"/>
    </row>
  </sheetData>
  <mergeCells count="2">
    <mergeCell ref="A7:C7"/>
    <mergeCell ref="A2:K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SheetLayoutView="100" workbookViewId="0" topLeftCell="B33">
      <selection activeCell="H17" sqref="H1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7" width="13.57421875" style="0" customWidth="1"/>
    <col min="8" max="8" width="12.8515625" style="0" customWidth="1"/>
    <col min="9" max="9" width="12.57421875" style="0" hidden="1" customWidth="1"/>
    <col min="10" max="10" width="13.00390625" style="0" hidden="1" customWidth="1"/>
    <col min="11" max="12" width="13.00390625" style="0" customWidth="1"/>
    <col min="13" max="13" width="14.00390625" style="0" customWidth="1"/>
    <col min="14" max="14" width="12.28125" style="0" customWidth="1"/>
    <col min="15" max="15" width="12.421875" style="0" customWidth="1"/>
  </cols>
  <sheetData>
    <row r="1" spans="1:13" ht="18" customHeight="1">
      <c r="A1" s="145" t="s">
        <v>119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3" ht="16.5" customHeight="1">
      <c r="A2" s="148" t="s">
        <v>63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4" spans="1:3" ht="12.75">
      <c r="A4" t="s">
        <v>140</v>
      </c>
      <c r="B4" s="14"/>
      <c r="C4" s="6">
        <f>'IM 1.1'!B5</f>
        <v>6260250</v>
      </c>
    </row>
    <row r="6" ht="12.75">
      <c r="A6" t="s">
        <v>57</v>
      </c>
    </row>
    <row r="7" spans="1:15" ht="45" customHeight="1">
      <c r="A7" s="4" t="s">
        <v>4</v>
      </c>
      <c r="B7" s="4" t="s">
        <v>5</v>
      </c>
      <c r="C7" s="4" t="s">
        <v>6</v>
      </c>
      <c r="D7" s="4" t="s">
        <v>7</v>
      </c>
      <c r="E7" s="12" t="s">
        <v>137</v>
      </c>
      <c r="F7" s="12" t="s">
        <v>139</v>
      </c>
      <c r="G7" s="12" t="s">
        <v>138</v>
      </c>
      <c r="H7" s="12" t="s">
        <v>141</v>
      </c>
      <c r="I7" s="12" t="s">
        <v>142</v>
      </c>
      <c r="J7" s="12" t="s">
        <v>147</v>
      </c>
      <c r="K7" s="12" t="s">
        <v>142</v>
      </c>
      <c r="L7" s="12" t="s">
        <v>147</v>
      </c>
      <c r="M7" s="12" t="s">
        <v>145</v>
      </c>
      <c r="N7" s="12" t="s">
        <v>146</v>
      </c>
      <c r="O7" s="12" t="s">
        <v>144</v>
      </c>
    </row>
    <row r="8" spans="1:13" ht="12.75">
      <c r="A8" s="5" t="s">
        <v>8</v>
      </c>
      <c r="B8" s="6"/>
      <c r="C8" s="6"/>
      <c r="D8" s="6"/>
      <c r="E8" s="45">
        <v>0</v>
      </c>
      <c r="F8" s="45"/>
      <c r="G8" s="45"/>
      <c r="H8" s="45"/>
      <c r="I8" s="45"/>
      <c r="J8" s="45">
        <v>0</v>
      </c>
      <c r="K8" s="45"/>
      <c r="L8" s="45"/>
      <c r="M8" s="45">
        <v>0</v>
      </c>
    </row>
    <row r="9" spans="1:13" ht="12.75">
      <c r="A9" s="5" t="s">
        <v>9</v>
      </c>
      <c r="B9" s="6"/>
      <c r="C9" s="6"/>
      <c r="D9" s="6"/>
      <c r="E9" s="45">
        <v>0</v>
      </c>
      <c r="F9" s="45"/>
      <c r="G9" s="45"/>
      <c r="H9" s="45"/>
      <c r="I9" s="45"/>
      <c r="J9" s="45">
        <v>0</v>
      </c>
      <c r="K9" s="45"/>
      <c r="L9" s="45"/>
      <c r="M9" s="45">
        <v>0</v>
      </c>
    </row>
    <row r="10" spans="1:13" ht="12.75">
      <c r="A10" s="5" t="s">
        <v>10</v>
      </c>
      <c r="B10" s="6"/>
      <c r="C10" s="6"/>
      <c r="D10" s="6"/>
      <c r="E10" s="45">
        <v>0</v>
      </c>
      <c r="F10" s="45"/>
      <c r="G10" s="45"/>
      <c r="H10" s="45"/>
      <c r="I10" s="45"/>
      <c r="J10" s="45">
        <v>0</v>
      </c>
      <c r="K10" s="45"/>
      <c r="L10" s="45"/>
      <c r="M10" s="45">
        <v>0</v>
      </c>
    </row>
    <row r="11" spans="1:13" ht="12.75">
      <c r="A11" s="5" t="s">
        <v>11</v>
      </c>
      <c r="B11" s="6"/>
      <c r="C11" s="6"/>
      <c r="D11" s="6"/>
      <c r="E11" s="26">
        <f>ROUND(3077895*0.85/1.95583,0)+1</f>
        <v>1337648</v>
      </c>
      <c r="F11" s="26"/>
      <c r="G11" s="26"/>
      <c r="H11" s="26"/>
      <c r="I11" s="26"/>
      <c r="J11" s="45">
        <v>0</v>
      </c>
      <c r="K11" s="45"/>
      <c r="L11" s="45"/>
      <c r="M11" s="45">
        <v>0</v>
      </c>
    </row>
    <row r="12" spans="1:13" ht="12.75">
      <c r="A12" s="5" t="s">
        <v>12</v>
      </c>
      <c r="B12" s="6"/>
      <c r="C12" s="6"/>
      <c r="D12" s="6"/>
      <c r="E12" s="26"/>
      <c r="F12" s="26"/>
      <c r="G12" s="26"/>
      <c r="H12" s="26"/>
      <c r="I12" s="26"/>
      <c r="J12" s="45"/>
      <c r="K12" s="45"/>
      <c r="L12" s="45"/>
      <c r="M12" s="45">
        <v>0</v>
      </c>
    </row>
    <row r="13" spans="1:13" ht="12.75">
      <c r="A13" s="5" t="s">
        <v>13</v>
      </c>
      <c r="B13" s="6"/>
      <c r="C13" s="6"/>
      <c r="D13" s="6"/>
      <c r="H13" s="6"/>
      <c r="I13" s="66">
        <f>0.85</f>
        <v>0.85</v>
      </c>
      <c r="J13" s="45">
        <f>E11*0.2</f>
        <v>267529.60000000003</v>
      </c>
      <c r="K13" s="45"/>
      <c r="L13" s="45"/>
      <c r="M13" s="45">
        <v>0</v>
      </c>
    </row>
    <row r="14" spans="1:13" ht="12.75">
      <c r="A14" s="5" t="s">
        <v>14</v>
      </c>
      <c r="B14" s="6"/>
      <c r="C14" s="6"/>
      <c r="D14" s="6"/>
      <c r="E14" s="26"/>
      <c r="F14" s="26"/>
      <c r="G14" s="26"/>
      <c r="H14" s="6">
        <f>M17*0.25</f>
        <v>83603</v>
      </c>
      <c r="I14" s="66">
        <f aca="true" t="shared" si="0" ref="I14:I41">0.85</f>
        <v>0.85</v>
      </c>
      <c r="J14" s="45">
        <f>E11*0.15</f>
        <v>200647.19999999998</v>
      </c>
      <c r="K14" s="45"/>
      <c r="L14" s="45"/>
      <c r="M14" s="45">
        <v>0</v>
      </c>
    </row>
    <row r="15" spans="1:13" ht="12.75">
      <c r="A15" s="5" t="s">
        <v>15</v>
      </c>
      <c r="B15" s="6"/>
      <c r="C15" s="6"/>
      <c r="D15" s="6"/>
      <c r="E15" s="26"/>
      <c r="F15" s="26"/>
      <c r="G15" s="26"/>
      <c r="H15" s="6">
        <f>M17*0.75</f>
        <v>250809</v>
      </c>
      <c r="I15" s="66">
        <f t="shared" si="0"/>
        <v>0.85</v>
      </c>
      <c r="J15" s="45">
        <f>E11*0.15</f>
        <v>200647.19999999998</v>
      </c>
      <c r="K15" s="45"/>
      <c r="L15" s="45"/>
      <c r="M15" s="45"/>
    </row>
    <row r="16" spans="1:13" ht="12.75">
      <c r="A16" s="5" t="s">
        <v>16</v>
      </c>
      <c r="B16" s="6"/>
      <c r="C16" s="6"/>
      <c r="D16" s="6"/>
      <c r="E16" s="26"/>
      <c r="F16" s="26"/>
      <c r="G16" s="26"/>
      <c r="H16" s="6">
        <f>M18</f>
        <v>267529.60000000003</v>
      </c>
      <c r="I16" s="66">
        <f t="shared" si="0"/>
        <v>0.85</v>
      </c>
      <c r="J16" s="45">
        <f>E11*0.1</f>
        <v>133764.80000000002</v>
      </c>
      <c r="K16" s="45"/>
      <c r="L16" s="45"/>
      <c r="M16" s="45">
        <v>0</v>
      </c>
    </row>
    <row r="17" spans="1:13" ht="12.75">
      <c r="A17" s="5" t="s">
        <v>17</v>
      </c>
      <c r="B17" s="6"/>
      <c r="C17" s="6"/>
      <c r="D17" s="6"/>
      <c r="E17" s="26"/>
      <c r="F17" s="26"/>
      <c r="G17" s="26"/>
      <c r="H17" s="6">
        <f aca="true" t="shared" si="1" ref="H17:H41">M19</f>
        <v>267529.60000000003</v>
      </c>
      <c r="I17" s="66">
        <f t="shared" si="0"/>
        <v>0.85</v>
      </c>
      <c r="J17" s="45">
        <f>J16</f>
        <v>133764.80000000002</v>
      </c>
      <c r="K17" s="45"/>
      <c r="L17" s="45"/>
      <c r="M17" s="45">
        <f>E11*0.25</f>
        <v>334412</v>
      </c>
    </row>
    <row r="18" spans="1:13" ht="12.75">
      <c r="A18" s="5" t="s">
        <v>18</v>
      </c>
      <c r="B18" s="6"/>
      <c r="C18" s="6"/>
      <c r="D18" s="6"/>
      <c r="E18" s="26"/>
      <c r="F18" s="26"/>
      <c r="G18" s="26"/>
      <c r="H18" s="6">
        <f t="shared" si="1"/>
        <v>200647.19999999998</v>
      </c>
      <c r="I18" s="66">
        <f t="shared" si="0"/>
        <v>0.85</v>
      </c>
      <c r="J18" s="45">
        <f>J17</f>
        <v>133764.80000000002</v>
      </c>
      <c r="K18" s="45"/>
      <c r="L18" s="45"/>
      <c r="M18" s="45">
        <f>E11*0.2</f>
        <v>267529.60000000003</v>
      </c>
    </row>
    <row r="19" spans="1:13" ht="12.75">
      <c r="A19" s="5" t="s">
        <v>19</v>
      </c>
      <c r="B19" s="6"/>
      <c r="C19" s="6"/>
      <c r="D19" s="6"/>
      <c r="E19" s="26">
        <f>4208000*0.85/1.95583-1</f>
        <v>1828787.8006626344</v>
      </c>
      <c r="F19" s="26"/>
      <c r="G19" s="26"/>
      <c r="H19" s="6">
        <f t="shared" si="1"/>
        <v>267529.60000000003</v>
      </c>
      <c r="I19" s="66">
        <f t="shared" si="0"/>
        <v>0.85</v>
      </c>
      <c r="J19" s="45">
        <f>0.2*E19</f>
        <v>365757.5601325269</v>
      </c>
      <c r="K19" s="45"/>
      <c r="L19" s="45"/>
      <c r="M19" s="45">
        <f>E11*0.2</f>
        <v>267529.60000000003</v>
      </c>
    </row>
    <row r="20" spans="1:13" ht="12.75">
      <c r="A20" s="5" t="s">
        <v>20</v>
      </c>
      <c r="B20" s="6"/>
      <c r="C20" s="6"/>
      <c r="D20" s="6"/>
      <c r="H20" s="6">
        <f t="shared" si="1"/>
        <v>182878.78006626345</v>
      </c>
      <c r="I20" s="66">
        <f t="shared" si="0"/>
        <v>0.85</v>
      </c>
      <c r="J20" s="46">
        <f>E11*0.2</f>
        <v>267529.60000000003</v>
      </c>
      <c r="K20" s="46"/>
      <c r="L20" s="46"/>
      <c r="M20" s="45">
        <f>E11*0.15</f>
        <v>200647.19999999998</v>
      </c>
    </row>
    <row r="21" spans="1:13" ht="12.75">
      <c r="A21" s="5" t="s">
        <v>21</v>
      </c>
      <c r="B21" s="6"/>
      <c r="C21" s="6"/>
      <c r="D21" s="6"/>
      <c r="E21" s="26"/>
      <c r="F21" s="26"/>
      <c r="G21" s="26"/>
      <c r="H21" s="6">
        <f t="shared" si="1"/>
        <v>182878.78006626345</v>
      </c>
      <c r="I21" s="66">
        <f t="shared" si="0"/>
        <v>0.85</v>
      </c>
      <c r="J21" s="46">
        <f>E19/10</f>
        <v>182878.78006626345</v>
      </c>
      <c r="K21" s="46"/>
      <c r="L21" s="46"/>
      <c r="M21" s="45">
        <f>E11*0.2</f>
        <v>267529.60000000003</v>
      </c>
    </row>
    <row r="22" spans="1:13" ht="12.75">
      <c r="A22" s="5" t="s">
        <v>22</v>
      </c>
      <c r="B22" s="6"/>
      <c r="C22" s="6"/>
      <c r="D22" s="6"/>
      <c r="E22" s="26"/>
      <c r="F22" s="26"/>
      <c r="G22" s="26"/>
      <c r="H22" s="6">
        <f t="shared" si="1"/>
        <v>182878.78006626345</v>
      </c>
      <c r="I22" s="66">
        <f t="shared" si="0"/>
        <v>0.85</v>
      </c>
      <c r="J22" s="46">
        <f>E19/10</f>
        <v>182878.78006626345</v>
      </c>
      <c r="K22" s="46"/>
      <c r="L22" s="46"/>
      <c r="M22" s="45">
        <f>0.1*E19</f>
        <v>182878.78006626345</v>
      </c>
    </row>
    <row r="23" spans="1:13" ht="12.75">
      <c r="A23" s="5" t="s">
        <v>23</v>
      </c>
      <c r="B23" s="6"/>
      <c r="C23" s="6"/>
      <c r="D23" s="6"/>
      <c r="E23" s="26"/>
      <c r="F23" s="26"/>
      <c r="G23" s="26"/>
      <c r="H23" s="6">
        <f t="shared" si="1"/>
        <v>182878.78006626345</v>
      </c>
      <c r="I23" s="66">
        <f t="shared" si="0"/>
        <v>0.85</v>
      </c>
      <c r="J23" s="46">
        <f>E19/10</f>
        <v>182878.78006626345</v>
      </c>
      <c r="K23" s="46"/>
      <c r="L23" s="46"/>
      <c r="M23" s="45">
        <f>E19*0.1</f>
        <v>182878.78006626345</v>
      </c>
    </row>
    <row r="24" spans="1:13" ht="12.75">
      <c r="A24" s="5" t="s">
        <v>24</v>
      </c>
      <c r="B24" s="6"/>
      <c r="H24" s="6">
        <f t="shared" si="1"/>
        <v>274318.17009939515</v>
      </c>
      <c r="I24" s="66">
        <f t="shared" si="0"/>
        <v>0.85</v>
      </c>
      <c r="J24" s="6">
        <f>E19/10</f>
        <v>182878.78006626345</v>
      </c>
      <c r="K24" s="6"/>
      <c r="L24" s="6"/>
      <c r="M24" s="45">
        <f>M23</f>
        <v>182878.78006626345</v>
      </c>
    </row>
    <row r="25" spans="1:13" ht="12.75">
      <c r="A25" s="5" t="s">
        <v>25</v>
      </c>
      <c r="B25" s="6"/>
      <c r="D25" s="6"/>
      <c r="E25" s="6"/>
      <c r="F25" s="6"/>
      <c r="G25" s="6"/>
      <c r="H25" s="6">
        <f t="shared" si="1"/>
        <v>274318.17009939515</v>
      </c>
      <c r="I25" s="66">
        <f t="shared" si="0"/>
        <v>0.85</v>
      </c>
      <c r="J25" s="6">
        <f>E19*0.1</f>
        <v>182878.78006626345</v>
      </c>
      <c r="K25" s="6"/>
      <c r="L25" s="6"/>
      <c r="M25" s="45">
        <f>M24</f>
        <v>182878.78006626345</v>
      </c>
    </row>
    <row r="26" spans="1:13" ht="12.75">
      <c r="A26" s="5" t="s">
        <v>26</v>
      </c>
      <c r="B26" s="6"/>
      <c r="E26" s="6"/>
      <c r="F26" s="6"/>
      <c r="G26" s="6"/>
      <c r="H26" s="6">
        <f t="shared" si="1"/>
        <v>274318.17009939515</v>
      </c>
      <c r="I26" s="66">
        <f t="shared" si="0"/>
        <v>0.85</v>
      </c>
      <c r="J26" s="6">
        <f>E19*0.1</f>
        <v>182878.78006626345</v>
      </c>
      <c r="K26" s="6"/>
      <c r="L26" s="6"/>
      <c r="M26" s="45">
        <f>0.15*E19</f>
        <v>274318.17009939515</v>
      </c>
    </row>
    <row r="27" spans="1:13" ht="12.75">
      <c r="A27" s="5" t="s">
        <v>27</v>
      </c>
      <c r="B27" s="6"/>
      <c r="E27" s="6">
        <f>4208000*0.85/1.95583</f>
        <v>1828788.8006626344</v>
      </c>
      <c r="F27" s="6"/>
      <c r="G27" s="6"/>
      <c r="H27" s="6">
        <f t="shared" si="1"/>
        <v>274318.17009939515</v>
      </c>
      <c r="I27" s="66">
        <f t="shared" si="0"/>
        <v>0.85</v>
      </c>
      <c r="J27" s="6">
        <f>E27*0.2</f>
        <v>365757.7601325269</v>
      </c>
      <c r="K27" s="6"/>
      <c r="L27" s="6"/>
      <c r="M27" s="45">
        <f>0.15*E19</f>
        <v>274318.17009939515</v>
      </c>
    </row>
    <row r="28" spans="1:13" ht="12.75">
      <c r="A28" s="5" t="s">
        <v>28</v>
      </c>
      <c r="B28" s="6"/>
      <c r="H28" s="6">
        <f t="shared" si="1"/>
        <v>182878.88006626346</v>
      </c>
      <c r="I28" s="66">
        <f t="shared" si="0"/>
        <v>0.85</v>
      </c>
      <c r="J28" s="6">
        <f>E19*0.2</f>
        <v>365757.5601325269</v>
      </c>
      <c r="K28" s="6"/>
      <c r="L28" s="6"/>
      <c r="M28" s="45">
        <f>M27</f>
        <v>274318.17009939515</v>
      </c>
    </row>
    <row r="29" spans="1:13" ht="12.75">
      <c r="A29" s="5" t="s">
        <v>29</v>
      </c>
      <c r="B29" s="6"/>
      <c r="E29" s="6"/>
      <c r="F29" s="6"/>
      <c r="G29" s="6"/>
      <c r="H29" s="6">
        <f t="shared" si="1"/>
        <v>274318.3200993952</v>
      </c>
      <c r="I29" s="66">
        <f t="shared" si="0"/>
        <v>0.85</v>
      </c>
      <c r="J29" s="6">
        <f>E27*0.1</f>
        <v>182878.88006626346</v>
      </c>
      <c r="K29" s="6"/>
      <c r="L29" s="6"/>
      <c r="M29" s="45">
        <f>M28</f>
        <v>274318.17009939515</v>
      </c>
    </row>
    <row r="30" spans="1:13" ht="12.75">
      <c r="A30" s="5" t="s">
        <v>30</v>
      </c>
      <c r="B30" s="6"/>
      <c r="D30" s="6"/>
      <c r="E30" s="6"/>
      <c r="F30" s="6"/>
      <c r="G30" s="6"/>
      <c r="H30" s="6">
        <f t="shared" si="1"/>
        <v>274318.3200993952</v>
      </c>
      <c r="I30" s="66">
        <f t="shared" si="0"/>
        <v>0.85</v>
      </c>
      <c r="J30" s="6">
        <f>E27*0.1</f>
        <v>182878.88006626346</v>
      </c>
      <c r="K30" s="6"/>
      <c r="L30" s="6"/>
      <c r="M30" s="45">
        <f>E27*0.1</f>
        <v>182878.88006626346</v>
      </c>
    </row>
    <row r="31" spans="1:13" ht="12.75">
      <c r="A31" s="5" t="s">
        <v>31</v>
      </c>
      <c r="B31" s="6"/>
      <c r="E31" s="6"/>
      <c r="F31" s="6"/>
      <c r="G31" s="6"/>
      <c r="H31" s="6">
        <f t="shared" si="1"/>
        <v>274318.3200993952</v>
      </c>
      <c r="I31" s="66">
        <f t="shared" si="0"/>
        <v>0.85</v>
      </c>
      <c r="J31" s="6">
        <f>E27*0.1</f>
        <v>182878.88006626346</v>
      </c>
      <c r="K31" s="6"/>
      <c r="L31" s="6"/>
      <c r="M31" s="45">
        <f>E27*0.15</f>
        <v>274318.3200993952</v>
      </c>
    </row>
    <row r="32" spans="1:13" ht="12.75">
      <c r="A32" s="5" t="s">
        <v>32</v>
      </c>
      <c r="B32" s="6"/>
      <c r="H32" s="6">
        <f t="shared" si="1"/>
        <v>274318.3200993952</v>
      </c>
      <c r="I32" s="66">
        <f t="shared" si="0"/>
        <v>0.85</v>
      </c>
      <c r="J32" s="6">
        <f>E27*0.1</f>
        <v>182878.88006626346</v>
      </c>
      <c r="K32" s="6"/>
      <c r="L32" s="6"/>
      <c r="M32" s="45">
        <f>M31</f>
        <v>274318.3200993952</v>
      </c>
    </row>
    <row r="33" spans="1:13" ht="12.75">
      <c r="A33" s="5" t="s">
        <v>33</v>
      </c>
      <c r="B33" s="6"/>
      <c r="E33" s="6">
        <f>2910793*0.85/1.95583</f>
        <v>1265025.1044313668</v>
      </c>
      <c r="F33" s="6"/>
      <c r="G33" s="6"/>
      <c r="H33" s="6">
        <f t="shared" si="1"/>
        <v>182878.88006626346</v>
      </c>
      <c r="I33" s="66">
        <f t="shared" si="0"/>
        <v>0.85</v>
      </c>
      <c r="J33" s="6">
        <f>E27*0.1</f>
        <v>182878.88006626346</v>
      </c>
      <c r="K33" s="6"/>
      <c r="L33" s="6"/>
      <c r="M33" s="45">
        <f>M32</f>
        <v>274318.3200993952</v>
      </c>
    </row>
    <row r="34" spans="1:13" ht="12.75">
      <c r="A34" s="5" t="s">
        <v>34</v>
      </c>
      <c r="B34" s="6"/>
      <c r="D34" s="6"/>
      <c r="E34" s="6"/>
      <c r="F34" s="6"/>
      <c r="G34" s="6"/>
      <c r="H34" s="6">
        <f t="shared" si="1"/>
        <v>182878.88006626346</v>
      </c>
      <c r="I34" s="66">
        <f t="shared" si="0"/>
        <v>0.85</v>
      </c>
      <c r="J34" s="6">
        <f>E27*0.1</f>
        <v>182878.88006626346</v>
      </c>
      <c r="K34" s="6"/>
      <c r="L34" s="6"/>
      <c r="M34" s="45">
        <f>M33</f>
        <v>274318.3200993952</v>
      </c>
    </row>
    <row r="35" spans="1:13" ht="12.75">
      <c r="A35" s="5" t="s">
        <v>35</v>
      </c>
      <c r="B35" s="6"/>
      <c r="H35" s="6">
        <f t="shared" si="1"/>
        <v>182878.88006626346</v>
      </c>
      <c r="I35" s="66">
        <f t="shared" si="0"/>
        <v>0.85</v>
      </c>
      <c r="J35" s="6">
        <f>E33*0.2</f>
        <v>253005.02088627336</v>
      </c>
      <c r="K35" s="6"/>
      <c r="L35" s="6"/>
      <c r="M35" s="45">
        <f>0.1*E27</f>
        <v>182878.88006626346</v>
      </c>
    </row>
    <row r="36" spans="1:13" ht="12.75">
      <c r="A36" s="5" t="s">
        <v>36</v>
      </c>
      <c r="B36" s="6"/>
      <c r="E36" s="6"/>
      <c r="F36" s="6"/>
      <c r="G36" s="6"/>
      <c r="H36" s="6">
        <f t="shared" si="1"/>
        <v>189753.76566470502</v>
      </c>
      <c r="I36" s="66">
        <f t="shared" si="0"/>
        <v>0.85</v>
      </c>
      <c r="J36" s="6">
        <f>E27*0.2</f>
        <v>365757.7601325269</v>
      </c>
      <c r="K36" s="6"/>
      <c r="L36" s="6"/>
      <c r="M36" s="45">
        <f>M35</f>
        <v>182878.88006626346</v>
      </c>
    </row>
    <row r="37" spans="1:13" ht="12.75">
      <c r="A37" s="5" t="s">
        <v>37</v>
      </c>
      <c r="B37" s="6"/>
      <c r="D37" s="6"/>
      <c r="E37" s="6"/>
      <c r="F37" s="6"/>
      <c r="G37" s="6"/>
      <c r="H37" s="6">
        <f t="shared" si="1"/>
        <v>189753.76566470502</v>
      </c>
      <c r="I37" s="66">
        <f t="shared" si="0"/>
        <v>0.85</v>
      </c>
      <c r="J37" s="6">
        <f>E33*0.15</f>
        <v>189753.76566470502</v>
      </c>
      <c r="K37" s="6"/>
      <c r="L37" s="6"/>
      <c r="M37" s="45">
        <f>M36</f>
        <v>182878.88006626346</v>
      </c>
    </row>
    <row r="38" spans="1:13" ht="12.75">
      <c r="A38" s="5" t="s">
        <v>38</v>
      </c>
      <c r="B38" s="6"/>
      <c r="E38" s="6"/>
      <c r="F38" s="6"/>
      <c r="G38" s="6"/>
      <c r="H38" s="6">
        <f t="shared" si="1"/>
        <v>189753.76566470502</v>
      </c>
      <c r="I38" s="66">
        <f t="shared" si="0"/>
        <v>0.85</v>
      </c>
      <c r="J38" s="6">
        <f>E33*0.15</f>
        <v>189753.76566470502</v>
      </c>
      <c r="K38" s="6"/>
      <c r="L38" s="6"/>
      <c r="M38" s="45">
        <f>E33*0.15</f>
        <v>189753.76566470502</v>
      </c>
    </row>
    <row r="39" spans="1:13" ht="12.75">
      <c r="A39" s="5" t="s">
        <v>39</v>
      </c>
      <c r="B39" s="6"/>
      <c r="E39" s="6"/>
      <c r="F39" s="6"/>
      <c r="G39" s="6"/>
      <c r="H39" s="6">
        <f t="shared" si="1"/>
        <v>189753.76566470502</v>
      </c>
      <c r="I39" s="66">
        <f t="shared" si="0"/>
        <v>0.85</v>
      </c>
      <c r="J39" s="6">
        <f>E33*0.15</f>
        <v>189753.76566470502</v>
      </c>
      <c r="K39" s="6"/>
      <c r="L39" s="6"/>
      <c r="M39" s="45">
        <f>J37</f>
        <v>189753.76566470502</v>
      </c>
    </row>
    <row r="40" spans="1:13" ht="12.75">
      <c r="A40" s="5" t="s">
        <v>40</v>
      </c>
      <c r="H40" s="6">
        <f t="shared" si="1"/>
        <v>189753.76566470502</v>
      </c>
      <c r="I40" s="66">
        <f t="shared" si="0"/>
        <v>0.85</v>
      </c>
      <c r="J40" s="6">
        <f>E33*0.15</f>
        <v>189753.76566470502</v>
      </c>
      <c r="K40" s="6"/>
      <c r="L40" s="6"/>
      <c r="M40" s="45">
        <f>J38</f>
        <v>189753.76566470502</v>
      </c>
    </row>
    <row r="41" spans="1:13" ht="12.75">
      <c r="A41" s="5" t="s">
        <v>41</v>
      </c>
      <c r="D41" s="6"/>
      <c r="H41" s="6">
        <f t="shared" si="1"/>
        <v>316256.2761078417</v>
      </c>
      <c r="I41" s="66">
        <f t="shared" si="0"/>
        <v>0.85</v>
      </c>
      <c r="J41" s="6">
        <f>E33*0.2</f>
        <v>253005.02088627336</v>
      </c>
      <c r="K41" s="6"/>
      <c r="L41" s="6"/>
      <c r="M41" s="45">
        <f>J39</f>
        <v>189753.76566470502</v>
      </c>
    </row>
    <row r="42" spans="1:13" ht="12.75">
      <c r="A42" s="5" t="s">
        <v>42</v>
      </c>
      <c r="D42" s="6"/>
      <c r="H42" s="6"/>
      <c r="I42" s="66"/>
      <c r="M42" s="45">
        <f>J40</f>
        <v>189753.76566470502</v>
      </c>
    </row>
    <row r="43" spans="1:13" ht="12.75">
      <c r="A43" s="5" t="s">
        <v>43</v>
      </c>
      <c r="C43" s="6"/>
      <c r="H43" s="6"/>
      <c r="I43" s="66"/>
      <c r="J43" s="6"/>
      <c r="K43" s="6"/>
      <c r="L43" s="6"/>
      <c r="M43" s="45">
        <f>M42+E33*0.1</f>
        <v>316256.2761078417</v>
      </c>
    </row>
    <row r="44" spans="9:13" ht="12.75">
      <c r="I44" s="66"/>
      <c r="J44" s="6"/>
      <c r="K44" s="6"/>
      <c r="L44" s="6"/>
      <c r="M44" s="45"/>
    </row>
    <row r="45" ht="12.75">
      <c r="M45" s="6"/>
    </row>
    <row r="46" ht="12.75">
      <c r="A46" t="s">
        <v>58</v>
      </c>
    </row>
    <row r="47" spans="1:15" ht="38.25">
      <c r="A47" s="4" t="s">
        <v>4</v>
      </c>
      <c r="B47" s="4" t="s">
        <v>5</v>
      </c>
      <c r="C47" s="4" t="s">
        <v>6</v>
      </c>
      <c r="D47" s="4" t="s">
        <v>7</v>
      </c>
      <c r="E47" s="12" t="s">
        <v>137</v>
      </c>
      <c r="F47" s="12" t="s">
        <v>139</v>
      </c>
      <c r="G47" s="12" t="s">
        <v>138</v>
      </c>
      <c r="H47" s="12" t="s">
        <v>141</v>
      </c>
      <c r="I47" s="12" t="s">
        <v>142</v>
      </c>
      <c r="J47" s="12" t="s">
        <v>147</v>
      </c>
      <c r="K47" s="12" t="s">
        <v>142</v>
      </c>
      <c r="L47" s="12" t="s">
        <v>147</v>
      </c>
      <c r="M47" s="12" t="s">
        <v>145</v>
      </c>
      <c r="N47" s="12" t="s">
        <v>146</v>
      </c>
      <c r="O47" s="12" t="s">
        <v>144</v>
      </c>
    </row>
    <row r="48" spans="1:13" ht="12.75">
      <c r="A48" s="5" t="s">
        <v>8</v>
      </c>
      <c r="C48" s="6"/>
      <c r="D48" s="6"/>
      <c r="E48" s="6">
        <f>E8</f>
        <v>0</v>
      </c>
      <c r="F48" s="6"/>
      <c r="G48" s="6"/>
      <c r="H48" s="6"/>
      <c r="I48" s="6"/>
      <c r="J48" s="6">
        <f>J8</f>
        <v>0</v>
      </c>
      <c r="K48" s="6"/>
      <c r="L48" s="6"/>
      <c r="M48" s="6">
        <f>M8</f>
        <v>0</v>
      </c>
    </row>
    <row r="49" spans="1:13" ht="12.75">
      <c r="A49" s="5" t="s">
        <v>9</v>
      </c>
      <c r="C49" s="6"/>
      <c r="D49" s="6"/>
      <c r="E49" s="6">
        <f aca="true" t="shared" si="2" ref="E49:E54">E48+E9</f>
        <v>0</v>
      </c>
      <c r="F49" s="6"/>
      <c r="G49" s="6"/>
      <c r="H49" s="6"/>
      <c r="I49" s="6"/>
      <c r="J49" s="6">
        <f aca="true" t="shared" si="3" ref="J49:J54">J48+J9</f>
        <v>0</v>
      </c>
      <c r="K49" s="6"/>
      <c r="L49" s="6"/>
      <c r="M49" s="6">
        <f aca="true" t="shared" si="4" ref="M49:M54">M48+M9</f>
        <v>0</v>
      </c>
    </row>
    <row r="50" spans="1:13" ht="12.75">
      <c r="A50" s="5" t="s">
        <v>10</v>
      </c>
      <c r="C50" s="6"/>
      <c r="D50" s="6"/>
      <c r="E50" s="6">
        <f t="shared" si="2"/>
        <v>0</v>
      </c>
      <c r="F50" s="6"/>
      <c r="G50" s="6"/>
      <c r="H50" s="6"/>
      <c r="I50" s="6"/>
      <c r="J50" s="6">
        <f t="shared" si="3"/>
        <v>0</v>
      </c>
      <c r="K50" s="6"/>
      <c r="L50" s="6"/>
      <c r="M50" s="6">
        <f t="shared" si="4"/>
        <v>0</v>
      </c>
    </row>
    <row r="51" spans="1:13" ht="12.75">
      <c r="A51" s="5" t="s">
        <v>11</v>
      </c>
      <c r="B51" s="6"/>
      <c r="C51" s="6"/>
      <c r="D51" s="6"/>
      <c r="E51" s="6">
        <f t="shared" si="2"/>
        <v>1337648</v>
      </c>
      <c r="F51" s="6"/>
      <c r="G51" s="6"/>
      <c r="H51" s="6"/>
      <c r="I51" s="6"/>
      <c r="J51" s="6">
        <f t="shared" si="3"/>
        <v>0</v>
      </c>
      <c r="K51" s="6"/>
      <c r="L51" s="6"/>
      <c r="M51" s="6">
        <f t="shared" si="4"/>
        <v>0</v>
      </c>
    </row>
    <row r="52" spans="1:13" ht="12.75">
      <c r="A52" s="5" t="s">
        <v>12</v>
      </c>
      <c r="B52" s="6"/>
      <c r="C52" s="6"/>
      <c r="D52" s="6"/>
      <c r="E52" s="6">
        <f t="shared" si="2"/>
        <v>1337648</v>
      </c>
      <c r="F52" s="6"/>
      <c r="G52" s="6"/>
      <c r="H52" s="6"/>
      <c r="I52" s="6"/>
      <c r="J52" s="6">
        <f t="shared" si="3"/>
        <v>0</v>
      </c>
      <c r="K52" s="6"/>
      <c r="L52" s="6"/>
      <c r="M52" s="6">
        <f t="shared" si="4"/>
        <v>0</v>
      </c>
    </row>
    <row r="53" spans="1:13" ht="12.75">
      <c r="A53" s="5" t="s">
        <v>13</v>
      </c>
      <c r="B53" s="6"/>
      <c r="C53" s="6"/>
      <c r="D53" s="6"/>
      <c r="E53" s="6">
        <f t="shared" si="2"/>
        <v>1337648</v>
      </c>
      <c r="F53" s="6"/>
      <c r="G53" s="6"/>
      <c r="H53" s="6">
        <f>H52+H13</f>
        <v>0</v>
      </c>
      <c r="I53" s="6"/>
      <c r="J53" s="6">
        <f t="shared" si="3"/>
        <v>267529.60000000003</v>
      </c>
      <c r="K53" s="6"/>
      <c r="L53" s="6"/>
      <c r="M53" s="6">
        <f t="shared" si="4"/>
        <v>0</v>
      </c>
    </row>
    <row r="54" spans="1:13" ht="12.75">
      <c r="A54" s="5" t="s">
        <v>14</v>
      </c>
      <c r="B54" s="6"/>
      <c r="C54" s="6"/>
      <c r="D54" s="6"/>
      <c r="E54" s="6">
        <f t="shared" si="2"/>
        <v>1337648</v>
      </c>
      <c r="F54" s="6"/>
      <c r="G54" s="6"/>
      <c r="H54" s="6">
        <f>H53+H14</f>
        <v>83603</v>
      </c>
      <c r="I54" s="6"/>
      <c r="J54" s="6">
        <f t="shared" si="3"/>
        <v>468176.80000000005</v>
      </c>
      <c r="K54" s="6"/>
      <c r="L54" s="6"/>
      <c r="M54" s="6">
        <f t="shared" si="4"/>
        <v>0</v>
      </c>
    </row>
    <row r="55" spans="1:13" ht="12.75">
      <c r="A55" s="5" t="s">
        <v>15</v>
      </c>
      <c r="B55" s="6"/>
      <c r="C55" s="6"/>
      <c r="D55" s="6"/>
      <c r="E55" s="6">
        <f aca="true" t="shared" si="5" ref="E55:E83">E54+E15</f>
        <v>1337648</v>
      </c>
      <c r="F55" s="6"/>
      <c r="G55" s="6"/>
      <c r="H55" s="6">
        <f aca="true" t="shared" si="6" ref="H55:H83">H54+H15</f>
        <v>334412</v>
      </c>
      <c r="I55" s="6"/>
      <c r="J55" s="6">
        <f aca="true" t="shared" si="7" ref="J55:J75">J54+J15</f>
        <v>668824</v>
      </c>
      <c r="K55" s="6"/>
      <c r="L55" s="6"/>
      <c r="M55" s="6">
        <f>M54+M16</f>
        <v>0</v>
      </c>
    </row>
    <row r="56" spans="1:13" ht="12.75">
      <c r="A56" s="5" t="s">
        <v>16</v>
      </c>
      <c r="B56" s="6"/>
      <c r="C56" s="6"/>
      <c r="D56" s="6"/>
      <c r="E56" s="6">
        <f t="shared" si="5"/>
        <v>1337648</v>
      </c>
      <c r="F56" s="6"/>
      <c r="G56" s="6"/>
      <c r="H56" s="6">
        <f t="shared" si="6"/>
        <v>601941.6000000001</v>
      </c>
      <c r="I56" s="6"/>
      <c r="J56" s="6">
        <f t="shared" si="7"/>
        <v>802588.8</v>
      </c>
      <c r="K56" s="6"/>
      <c r="L56" s="6"/>
      <c r="M56" s="6">
        <f aca="true" t="shared" si="8" ref="M56:M83">M55+M16</f>
        <v>0</v>
      </c>
    </row>
    <row r="57" spans="1:13" ht="12.75">
      <c r="A57" s="5" t="s">
        <v>17</v>
      </c>
      <c r="B57" s="6"/>
      <c r="C57" s="6"/>
      <c r="D57" s="6"/>
      <c r="E57" s="6">
        <f t="shared" si="5"/>
        <v>1337648</v>
      </c>
      <c r="F57" s="6"/>
      <c r="G57" s="6"/>
      <c r="H57" s="6">
        <f t="shared" si="6"/>
        <v>869471.2000000002</v>
      </c>
      <c r="I57" s="6"/>
      <c r="J57" s="6">
        <f t="shared" si="7"/>
        <v>936353.6000000001</v>
      </c>
      <c r="K57" s="6"/>
      <c r="L57" s="6"/>
      <c r="M57" s="6">
        <f t="shared" si="8"/>
        <v>334412</v>
      </c>
    </row>
    <row r="58" spans="1:13" ht="12.75">
      <c r="A58" s="5" t="s">
        <v>18</v>
      </c>
      <c r="B58" s="6"/>
      <c r="C58" s="6"/>
      <c r="D58" s="6"/>
      <c r="E58" s="6">
        <f t="shared" si="5"/>
        <v>1337648</v>
      </c>
      <c r="F58" s="6"/>
      <c r="G58" s="6"/>
      <c r="H58" s="6">
        <f t="shared" si="6"/>
        <v>1070118.4000000001</v>
      </c>
      <c r="I58" s="6"/>
      <c r="J58" s="6">
        <f t="shared" si="7"/>
        <v>1070118.4000000001</v>
      </c>
      <c r="K58" s="6"/>
      <c r="L58" s="6"/>
      <c r="M58" s="6">
        <f t="shared" si="8"/>
        <v>601941.6000000001</v>
      </c>
    </row>
    <row r="59" spans="1:13" ht="12.75">
      <c r="A59" s="5" t="s">
        <v>19</v>
      </c>
      <c r="B59" s="6"/>
      <c r="C59" s="6"/>
      <c r="D59" s="6"/>
      <c r="E59" s="6">
        <f t="shared" si="5"/>
        <v>3166435.8006626344</v>
      </c>
      <c r="F59" s="6"/>
      <c r="G59" s="6"/>
      <c r="H59" s="6">
        <f t="shared" si="6"/>
        <v>1337648.0000000002</v>
      </c>
      <c r="I59" s="6"/>
      <c r="J59" s="6">
        <f t="shared" si="7"/>
        <v>1435875.9601325272</v>
      </c>
      <c r="K59" s="6"/>
      <c r="L59" s="6"/>
      <c r="M59" s="6">
        <f t="shared" si="8"/>
        <v>869471.2000000002</v>
      </c>
    </row>
    <row r="60" spans="1:13" ht="12.75">
      <c r="A60" s="5" t="s">
        <v>20</v>
      </c>
      <c r="B60" s="6"/>
      <c r="C60" s="6"/>
      <c r="D60" s="6"/>
      <c r="E60" s="6">
        <f t="shared" si="5"/>
        <v>3166435.8006626344</v>
      </c>
      <c r="F60" s="6"/>
      <c r="G60" s="6"/>
      <c r="H60" s="6">
        <f t="shared" si="6"/>
        <v>1520526.7800662636</v>
      </c>
      <c r="I60" s="6"/>
      <c r="J60" s="6">
        <f t="shared" si="7"/>
        <v>1703405.5601325273</v>
      </c>
      <c r="K60" s="6"/>
      <c r="L60" s="6"/>
      <c r="M60" s="6">
        <f t="shared" si="8"/>
        <v>1070118.4000000001</v>
      </c>
    </row>
    <row r="61" spans="1:13" ht="12.75">
      <c r="A61" s="5" t="s">
        <v>21</v>
      </c>
      <c r="B61" s="6"/>
      <c r="C61" s="6"/>
      <c r="D61" s="6"/>
      <c r="E61" s="6">
        <f t="shared" si="5"/>
        <v>3166435.8006626344</v>
      </c>
      <c r="F61" s="6"/>
      <c r="G61" s="6"/>
      <c r="H61" s="6">
        <f t="shared" si="6"/>
        <v>1703405.560132527</v>
      </c>
      <c r="I61" s="6"/>
      <c r="J61" s="6">
        <f t="shared" si="7"/>
        <v>1886284.3401987907</v>
      </c>
      <c r="K61" s="6"/>
      <c r="L61" s="6"/>
      <c r="M61" s="6">
        <f t="shared" si="8"/>
        <v>1337648.0000000002</v>
      </c>
    </row>
    <row r="62" spans="1:13" ht="12.75">
      <c r="A62" s="5" t="s">
        <v>22</v>
      </c>
      <c r="B62" s="6"/>
      <c r="C62" s="6"/>
      <c r="D62" s="6"/>
      <c r="E62" s="6">
        <f t="shared" si="5"/>
        <v>3166435.8006626344</v>
      </c>
      <c r="F62" s="6"/>
      <c r="G62" s="6"/>
      <c r="H62" s="6">
        <f t="shared" si="6"/>
        <v>1886284.3401987904</v>
      </c>
      <c r="I62" s="6"/>
      <c r="J62" s="6">
        <f t="shared" si="7"/>
        <v>2069163.120265054</v>
      </c>
      <c r="K62" s="6"/>
      <c r="L62" s="6"/>
      <c r="M62" s="6">
        <f t="shared" si="8"/>
        <v>1520526.7800662636</v>
      </c>
    </row>
    <row r="63" spans="1:13" ht="12.75">
      <c r="A63" s="5" t="s">
        <v>23</v>
      </c>
      <c r="B63" s="6"/>
      <c r="C63" s="6"/>
      <c r="D63" s="6"/>
      <c r="E63" s="6">
        <f t="shared" si="5"/>
        <v>3166435.8006626344</v>
      </c>
      <c r="F63" s="6"/>
      <c r="G63" s="6"/>
      <c r="H63" s="6">
        <f t="shared" si="6"/>
        <v>2069163.1202650538</v>
      </c>
      <c r="I63" s="6"/>
      <c r="J63" s="6">
        <f t="shared" si="7"/>
        <v>2252041.9003313174</v>
      </c>
      <c r="K63" s="6"/>
      <c r="L63" s="6"/>
      <c r="M63" s="6">
        <f t="shared" si="8"/>
        <v>1703405.560132527</v>
      </c>
    </row>
    <row r="64" spans="1:13" ht="12.75">
      <c r="A64" s="5" t="s">
        <v>24</v>
      </c>
      <c r="B64" s="6"/>
      <c r="C64" s="6"/>
      <c r="D64" s="6"/>
      <c r="E64" s="6">
        <f t="shared" si="5"/>
        <v>3166435.8006626344</v>
      </c>
      <c r="F64" s="6"/>
      <c r="G64" s="6"/>
      <c r="H64" s="6">
        <f t="shared" si="6"/>
        <v>2343481.290364449</v>
      </c>
      <c r="I64" s="6"/>
      <c r="J64" s="6">
        <f t="shared" si="7"/>
        <v>2434920.680397581</v>
      </c>
      <c r="K64" s="6"/>
      <c r="L64" s="6"/>
      <c r="M64" s="6">
        <f t="shared" si="8"/>
        <v>1886284.3401987904</v>
      </c>
    </row>
    <row r="65" spans="1:13" ht="12.75">
      <c r="A65" s="5" t="s">
        <v>25</v>
      </c>
      <c r="B65" s="6"/>
      <c r="C65" s="6"/>
      <c r="D65" s="6"/>
      <c r="E65" s="6">
        <f t="shared" si="5"/>
        <v>3166435.8006626344</v>
      </c>
      <c r="F65" s="6"/>
      <c r="G65" s="6"/>
      <c r="H65" s="6">
        <f t="shared" si="6"/>
        <v>2617799.4604638442</v>
      </c>
      <c r="I65" s="6"/>
      <c r="J65" s="6">
        <f t="shared" si="7"/>
        <v>2617799.4604638442</v>
      </c>
      <c r="K65" s="6"/>
      <c r="L65" s="6"/>
      <c r="M65" s="6">
        <f t="shared" si="8"/>
        <v>2069163.1202650538</v>
      </c>
    </row>
    <row r="66" spans="1:13" ht="12.75">
      <c r="A66" s="5" t="s">
        <v>26</v>
      </c>
      <c r="B66" s="6"/>
      <c r="C66" s="6"/>
      <c r="D66" s="6"/>
      <c r="E66" s="6">
        <f t="shared" si="5"/>
        <v>3166435.8006626344</v>
      </c>
      <c r="F66" s="6"/>
      <c r="G66" s="6"/>
      <c r="H66" s="6">
        <f t="shared" si="6"/>
        <v>2892117.6305632396</v>
      </c>
      <c r="I66" s="6"/>
      <c r="J66" s="6">
        <f t="shared" si="7"/>
        <v>2800678.2405301076</v>
      </c>
      <c r="K66" s="6"/>
      <c r="L66" s="6"/>
      <c r="M66" s="6">
        <f t="shared" si="8"/>
        <v>2343481.290364449</v>
      </c>
    </row>
    <row r="67" spans="1:13" ht="12.75">
      <c r="A67" s="5" t="s">
        <v>27</v>
      </c>
      <c r="B67" s="6"/>
      <c r="C67" s="6"/>
      <c r="D67" s="6"/>
      <c r="E67" s="6">
        <f t="shared" si="5"/>
        <v>4995224.601325269</v>
      </c>
      <c r="F67" s="6"/>
      <c r="G67" s="6"/>
      <c r="H67" s="6">
        <f t="shared" si="6"/>
        <v>3166435.800662635</v>
      </c>
      <c r="I67" s="6"/>
      <c r="J67" s="6">
        <f t="shared" si="7"/>
        <v>3166436.0006626346</v>
      </c>
      <c r="K67" s="6"/>
      <c r="L67" s="6"/>
      <c r="M67" s="6">
        <f t="shared" si="8"/>
        <v>2617799.4604638442</v>
      </c>
    </row>
    <row r="68" spans="1:13" ht="12.75">
      <c r="A68" s="5" t="s">
        <v>28</v>
      </c>
      <c r="B68" s="6"/>
      <c r="C68" s="6"/>
      <c r="D68" s="6"/>
      <c r="E68" s="6">
        <f t="shared" si="5"/>
        <v>4995224.601325269</v>
      </c>
      <c r="F68" s="6"/>
      <c r="G68" s="6"/>
      <c r="H68" s="6">
        <f t="shared" si="6"/>
        <v>3349314.6807288984</v>
      </c>
      <c r="I68" s="6"/>
      <c r="J68" s="6">
        <f t="shared" si="7"/>
        <v>3532193.5607951614</v>
      </c>
      <c r="K68" s="6"/>
      <c r="L68" s="6"/>
      <c r="M68" s="6">
        <f t="shared" si="8"/>
        <v>2892117.6305632396</v>
      </c>
    </row>
    <row r="69" spans="1:13" ht="12.75">
      <c r="A69" s="5" t="s">
        <v>29</v>
      </c>
      <c r="B69" s="6"/>
      <c r="C69" s="6"/>
      <c r="D69" s="6"/>
      <c r="E69" s="6">
        <f t="shared" si="5"/>
        <v>4995224.601325269</v>
      </c>
      <c r="F69" s="6"/>
      <c r="G69" s="6"/>
      <c r="H69" s="6">
        <f t="shared" si="6"/>
        <v>3623633.0008282936</v>
      </c>
      <c r="I69" s="6"/>
      <c r="J69" s="6">
        <f t="shared" si="7"/>
        <v>3715072.440861425</v>
      </c>
      <c r="K69" s="6"/>
      <c r="L69" s="6"/>
      <c r="M69" s="6">
        <f t="shared" si="8"/>
        <v>3166435.800662635</v>
      </c>
    </row>
    <row r="70" spans="1:13" ht="12.75">
      <c r="A70" s="5" t="s">
        <v>30</v>
      </c>
      <c r="B70" s="6"/>
      <c r="C70" s="6"/>
      <c r="D70" s="6"/>
      <c r="E70" s="6">
        <f t="shared" si="5"/>
        <v>4995224.601325269</v>
      </c>
      <c r="F70" s="6"/>
      <c r="G70" s="6"/>
      <c r="H70" s="6">
        <f t="shared" si="6"/>
        <v>3897951.320927689</v>
      </c>
      <c r="I70" s="6"/>
      <c r="J70" s="6">
        <f t="shared" si="7"/>
        <v>3897951.3209276884</v>
      </c>
      <c r="K70" s="6"/>
      <c r="L70" s="6"/>
      <c r="M70" s="6">
        <f t="shared" si="8"/>
        <v>3349314.6807288984</v>
      </c>
    </row>
    <row r="71" spans="1:13" ht="12.75">
      <c r="A71" s="5" t="s">
        <v>31</v>
      </c>
      <c r="E71" s="6">
        <f t="shared" si="5"/>
        <v>4995224.601325269</v>
      </c>
      <c r="F71" s="6"/>
      <c r="G71" s="6"/>
      <c r="H71" s="6">
        <f t="shared" si="6"/>
        <v>4172269.641027084</v>
      </c>
      <c r="I71" s="6"/>
      <c r="J71" s="6">
        <f t="shared" si="7"/>
        <v>4080830.200993952</v>
      </c>
      <c r="K71" s="6"/>
      <c r="L71" s="6"/>
      <c r="M71" s="6">
        <f t="shared" si="8"/>
        <v>3623633.0008282936</v>
      </c>
    </row>
    <row r="72" spans="1:13" ht="12.75">
      <c r="A72" s="5" t="s">
        <v>32</v>
      </c>
      <c r="E72" s="6">
        <f t="shared" si="5"/>
        <v>4995224.601325269</v>
      </c>
      <c r="F72" s="6"/>
      <c r="G72" s="6"/>
      <c r="H72" s="6">
        <f t="shared" si="6"/>
        <v>4446587.961126479</v>
      </c>
      <c r="I72" s="6"/>
      <c r="J72" s="6">
        <f t="shared" si="7"/>
        <v>4263709.081060215</v>
      </c>
      <c r="K72" s="6"/>
      <c r="L72" s="6"/>
      <c r="M72" s="6">
        <f t="shared" si="8"/>
        <v>3897951.320927689</v>
      </c>
    </row>
    <row r="73" spans="1:13" ht="12.75">
      <c r="A73" s="5" t="s">
        <v>33</v>
      </c>
      <c r="E73" s="6">
        <f t="shared" si="5"/>
        <v>6260249.705756635</v>
      </c>
      <c r="F73" s="6"/>
      <c r="G73" s="6"/>
      <c r="H73" s="6">
        <f t="shared" si="6"/>
        <v>4629466.841192743</v>
      </c>
      <c r="I73" s="6"/>
      <c r="J73" s="6">
        <f t="shared" si="7"/>
        <v>4446587.961126478</v>
      </c>
      <c r="K73" s="6"/>
      <c r="L73" s="6"/>
      <c r="M73" s="6">
        <f t="shared" si="8"/>
        <v>4172269.641027084</v>
      </c>
    </row>
    <row r="74" spans="1:13" ht="12.75">
      <c r="A74" s="5" t="s">
        <v>34</v>
      </c>
      <c r="E74" s="6">
        <f t="shared" si="5"/>
        <v>6260249.705756635</v>
      </c>
      <c r="F74" s="6"/>
      <c r="G74" s="6"/>
      <c r="H74" s="6">
        <f t="shared" si="6"/>
        <v>4812345.721259006</v>
      </c>
      <c r="I74" s="6"/>
      <c r="J74" s="6">
        <f t="shared" si="7"/>
        <v>4629466.841192742</v>
      </c>
      <c r="K74" s="6"/>
      <c r="L74" s="6"/>
      <c r="M74" s="6">
        <f t="shared" si="8"/>
        <v>4446587.961126479</v>
      </c>
    </row>
    <row r="75" spans="1:13" ht="12.75">
      <c r="A75" s="5" t="s">
        <v>35</v>
      </c>
      <c r="E75" s="6">
        <f t="shared" si="5"/>
        <v>6260249.705756635</v>
      </c>
      <c r="F75" s="6"/>
      <c r="G75" s="6"/>
      <c r="H75" s="6">
        <f t="shared" si="6"/>
        <v>4995224.60132527</v>
      </c>
      <c r="I75" s="6"/>
      <c r="J75" s="6">
        <f t="shared" si="7"/>
        <v>4882471.862079015</v>
      </c>
      <c r="K75" s="6"/>
      <c r="L75" s="6"/>
      <c r="M75" s="6">
        <f t="shared" si="8"/>
        <v>4629466.841192743</v>
      </c>
    </row>
    <row r="76" spans="1:13" ht="12.75">
      <c r="A76" s="5" t="s">
        <v>36</v>
      </c>
      <c r="E76" s="6">
        <f t="shared" si="5"/>
        <v>6260249.705756635</v>
      </c>
      <c r="F76" s="6"/>
      <c r="G76" s="6"/>
      <c r="H76" s="6">
        <f t="shared" si="6"/>
        <v>5184978.366989975</v>
      </c>
      <c r="I76" s="6"/>
      <c r="J76" s="6">
        <f aca="true" t="shared" si="9" ref="J76:J83">J75+J36</f>
        <v>5248229.622211542</v>
      </c>
      <c r="K76" s="6"/>
      <c r="L76" s="6"/>
      <c r="M76" s="6">
        <f t="shared" si="8"/>
        <v>4812345.721259006</v>
      </c>
    </row>
    <row r="77" spans="1:13" ht="12.75">
      <c r="A77" s="5" t="s">
        <v>37</v>
      </c>
      <c r="E77" s="6">
        <f t="shared" si="5"/>
        <v>6260249.705756635</v>
      </c>
      <c r="F77" s="6"/>
      <c r="G77" s="6"/>
      <c r="H77" s="6">
        <f t="shared" si="6"/>
        <v>5374732.13265468</v>
      </c>
      <c r="I77" s="6"/>
      <c r="J77" s="6">
        <f t="shared" si="9"/>
        <v>5437983.387876247</v>
      </c>
      <c r="K77" s="6"/>
      <c r="L77" s="6"/>
      <c r="M77" s="6">
        <f t="shared" si="8"/>
        <v>4995224.60132527</v>
      </c>
    </row>
    <row r="78" spans="1:13" ht="12.75">
      <c r="A78" s="5" t="s">
        <v>38</v>
      </c>
      <c r="E78" s="6">
        <f t="shared" si="5"/>
        <v>6260249.705756635</v>
      </c>
      <c r="F78" s="6"/>
      <c r="G78" s="6"/>
      <c r="H78" s="6">
        <f t="shared" si="6"/>
        <v>5564485.898319385</v>
      </c>
      <c r="I78" s="6"/>
      <c r="J78" s="6">
        <f t="shared" si="9"/>
        <v>5627737.153540952</v>
      </c>
      <c r="K78" s="6"/>
      <c r="L78" s="6"/>
      <c r="M78" s="6">
        <f t="shared" si="8"/>
        <v>5184978.366989975</v>
      </c>
    </row>
    <row r="79" spans="1:13" ht="12.75">
      <c r="A79" s="5" t="s">
        <v>39</v>
      </c>
      <c r="E79" s="6">
        <f t="shared" si="5"/>
        <v>6260249.705756635</v>
      </c>
      <c r="F79" s="6"/>
      <c r="G79" s="6"/>
      <c r="H79" s="6">
        <f t="shared" si="6"/>
        <v>5754239.66398409</v>
      </c>
      <c r="I79" s="6"/>
      <c r="J79" s="6">
        <f t="shared" si="9"/>
        <v>5817490.919205657</v>
      </c>
      <c r="K79" s="6"/>
      <c r="L79" s="6"/>
      <c r="M79" s="6">
        <f t="shared" si="8"/>
        <v>5374732.13265468</v>
      </c>
    </row>
    <row r="80" spans="1:13" ht="12.75">
      <c r="A80" s="5" t="s">
        <v>40</v>
      </c>
      <c r="E80" s="6">
        <f t="shared" si="5"/>
        <v>6260249.705756635</v>
      </c>
      <c r="F80" s="6"/>
      <c r="G80" s="6"/>
      <c r="H80" s="6">
        <f t="shared" si="6"/>
        <v>5943993.429648795</v>
      </c>
      <c r="I80" s="6"/>
      <c r="J80" s="6">
        <f t="shared" si="9"/>
        <v>6007244.684870362</v>
      </c>
      <c r="K80" s="6"/>
      <c r="L80" s="6"/>
      <c r="M80" s="6">
        <f t="shared" si="8"/>
        <v>5564485.898319385</v>
      </c>
    </row>
    <row r="81" spans="1:13" ht="12.75">
      <c r="A81" s="5" t="s">
        <v>41</v>
      </c>
      <c r="E81" s="6">
        <f t="shared" si="5"/>
        <v>6260249.705756635</v>
      </c>
      <c r="F81" s="6"/>
      <c r="G81" s="6"/>
      <c r="H81" s="6">
        <f t="shared" si="6"/>
        <v>6260249.705756637</v>
      </c>
      <c r="I81" s="6"/>
      <c r="J81" s="6">
        <f t="shared" si="9"/>
        <v>6260249.705756635</v>
      </c>
      <c r="K81" s="6"/>
      <c r="L81" s="6"/>
      <c r="M81" s="6">
        <f t="shared" si="8"/>
        <v>5754239.66398409</v>
      </c>
    </row>
    <row r="82" spans="1:13" ht="12.75">
      <c r="A82" s="5" t="s">
        <v>42</v>
      </c>
      <c r="E82" s="6">
        <f t="shared" si="5"/>
        <v>6260249.705756635</v>
      </c>
      <c r="F82" s="6"/>
      <c r="G82" s="6"/>
      <c r="H82" s="6">
        <f t="shared" si="6"/>
        <v>6260249.705756637</v>
      </c>
      <c r="I82" s="6"/>
      <c r="J82" s="6">
        <f t="shared" si="9"/>
        <v>6260249.705756635</v>
      </c>
      <c r="K82" s="6"/>
      <c r="L82" s="6"/>
      <c r="M82" s="6">
        <f t="shared" si="8"/>
        <v>5943993.429648795</v>
      </c>
    </row>
    <row r="83" spans="1:13" ht="12.75">
      <c r="A83" s="5" t="s">
        <v>43</v>
      </c>
      <c r="E83" s="6">
        <f t="shared" si="5"/>
        <v>6260249.705756635</v>
      </c>
      <c r="F83" s="6"/>
      <c r="G83" s="6"/>
      <c r="H83" s="6">
        <f t="shared" si="6"/>
        <v>6260249.705756637</v>
      </c>
      <c r="I83" s="6"/>
      <c r="J83" s="6">
        <f t="shared" si="9"/>
        <v>6260249.705756635</v>
      </c>
      <c r="K83" s="6"/>
      <c r="L83" s="6"/>
      <c r="M83" s="6">
        <f t="shared" si="8"/>
        <v>6260249.705756637</v>
      </c>
    </row>
    <row r="84" ht="12.75">
      <c r="M84" s="6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58"/>
  <sheetViews>
    <sheetView view="pageBreakPreview" zoomScaleNormal="85" zoomScaleSheetLayoutView="100" workbookViewId="0" topLeftCell="B14">
      <selection activeCell="H17" sqref="H17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19.00390625" style="0" customWidth="1"/>
    <col min="5" max="6" width="16.57421875" style="0" customWidth="1"/>
    <col min="7" max="7" width="11.421875" style="0" bestFit="1" customWidth="1"/>
    <col min="8" max="9" width="11.421875" style="0" customWidth="1"/>
    <col min="10" max="10" width="13.57421875" style="0" customWidth="1"/>
    <col min="11" max="12" width="13.421875" style="0" customWidth="1"/>
    <col min="13" max="13" width="13.00390625" style="0" bestFit="1" customWidth="1"/>
    <col min="14" max="14" width="15.140625" style="0" customWidth="1"/>
    <col min="15" max="15" width="13.421875" style="0" bestFit="1" customWidth="1"/>
  </cols>
  <sheetData>
    <row r="2" spans="1:15" ht="50.25" customHeight="1">
      <c r="A2" s="139" t="s">
        <v>121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ht="15.75">
      <c r="A3" s="25"/>
    </row>
    <row r="4" spans="1:9" ht="15.75">
      <c r="A4" s="25" t="s">
        <v>115</v>
      </c>
      <c r="G4" s="25" t="s">
        <v>114</v>
      </c>
      <c r="H4" s="25"/>
      <c r="I4" s="25"/>
    </row>
    <row r="5" spans="1:9" ht="15.75">
      <c r="A5" t="s">
        <v>124</v>
      </c>
      <c r="B5" s="26">
        <f>8461000*0.85</f>
        <v>7191850</v>
      </c>
      <c r="G5" s="25"/>
      <c r="H5" s="25"/>
      <c r="I5" s="25"/>
    </row>
    <row r="6" spans="1:2" ht="12.75">
      <c r="A6" t="s">
        <v>62</v>
      </c>
      <c r="B6" s="26">
        <f>'Priority Axis 1'!B6</f>
        <v>1750000.0000000002</v>
      </c>
    </row>
    <row r="7" spans="1:12" ht="12.75">
      <c r="A7" s="141" t="s">
        <v>0</v>
      </c>
      <c r="B7" s="142"/>
      <c r="C7" s="143"/>
      <c r="D7" s="85"/>
      <c r="E7" s="69"/>
      <c r="F7" s="69"/>
      <c r="G7" s="31" t="s">
        <v>55</v>
      </c>
      <c r="H7" s="32"/>
      <c r="I7" s="32"/>
      <c r="J7" s="42"/>
      <c r="K7" s="120"/>
      <c r="L7" s="121"/>
    </row>
    <row r="8" spans="1:10" ht="82.5" customHeight="1">
      <c r="A8" s="1" t="s">
        <v>1</v>
      </c>
      <c r="B8" s="20" t="s">
        <v>129</v>
      </c>
      <c r="C8" s="13" t="s">
        <v>180</v>
      </c>
      <c r="D8" s="13" t="s">
        <v>135</v>
      </c>
      <c r="E8" s="16"/>
      <c r="F8" s="16"/>
      <c r="G8" s="33"/>
      <c r="H8" s="34" t="s">
        <v>56</v>
      </c>
      <c r="I8" s="35" t="s">
        <v>149</v>
      </c>
      <c r="J8" s="36" t="s">
        <v>45</v>
      </c>
    </row>
    <row r="9" spans="1:10" ht="15.75">
      <c r="A9" s="21"/>
      <c r="B9" s="22"/>
      <c r="C9" s="27"/>
      <c r="D9" s="30"/>
      <c r="G9" s="51" t="s">
        <v>104</v>
      </c>
      <c r="H9" s="52">
        <f>7365000*0.85</f>
        <v>6260250</v>
      </c>
      <c r="I9" s="53">
        <f>H9/$H$14</f>
        <v>0.25040999749590004</v>
      </c>
      <c r="J9" s="54">
        <f>I9*$B$6</f>
        <v>438217.49561782513</v>
      </c>
    </row>
    <row r="10" spans="1:10" ht="12.75">
      <c r="A10" s="2">
        <v>2007</v>
      </c>
      <c r="B10" s="23">
        <v>3512400</v>
      </c>
      <c r="C10" s="28">
        <f aca="true" t="shared" si="0" ref="C10:C16">B10/$B$17</f>
        <v>0.07272574730188078</v>
      </c>
      <c r="D10" s="9">
        <f aca="true" t="shared" si="1" ref="D10:D16">C10*$B$5</f>
        <v>523032.6657330313</v>
      </c>
      <c r="G10" s="47" t="s">
        <v>105</v>
      </c>
      <c r="H10" s="55">
        <f>8461000*0.85</f>
        <v>7191850</v>
      </c>
      <c r="I10" s="56">
        <f>H10/$H$14</f>
        <v>0.28767399712326003</v>
      </c>
      <c r="J10" s="50">
        <f>I10*$B$6</f>
        <v>503429.4949657051</v>
      </c>
    </row>
    <row r="11" spans="1:10" ht="12.75">
      <c r="A11" s="2">
        <v>2008</v>
      </c>
      <c r="B11" s="23">
        <v>5141700</v>
      </c>
      <c r="C11" s="28">
        <f t="shared" si="0"/>
        <v>0.10646110206755506</v>
      </c>
      <c r="D11" s="9">
        <f t="shared" si="1"/>
        <v>765652.2769045458</v>
      </c>
      <c r="G11" s="37" t="s">
        <v>106</v>
      </c>
      <c r="H11" s="38">
        <f>8342000*0.85</f>
        <v>7090700</v>
      </c>
      <c r="I11" s="39">
        <f>H11/$H$14</f>
        <v>0.28362799716372</v>
      </c>
      <c r="J11" s="43">
        <f>I11*$B$6</f>
        <v>496348.99503651005</v>
      </c>
    </row>
    <row r="12" spans="1:10" ht="12.75">
      <c r="A12" s="2">
        <v>2009</v>
      </c>
      <c r="B12" s="23">
        <v>7001019</v>
      </c>
      <c r="C12" s="28">
        <f t="shared" si="0"/>
        <v>0.1449590988069884</v>
      </c>
      <c r="D12" s="9">
        <f t="shared" si="1"/>
        <v>1042524.0947550396</v>
      </c>
      <c r="G12" s="37" t="s">
        <v>107</v>
      </c>
      <c r="H12" s="38">
        <f>3169000*0.85</f>
        <v>2693650</v>
      </c>
      <c r="I12" s="39">
        <f>H12/$H$14</f>
        <v>0.10774599892254001</v>
      </c>
      <c r="J12" s="43">
        <f>I12*$B$6</f>
        <v>188555.49811444504</v>
      </c>
    </row>
    <row r="13" spans="1:10" ht="12.75">
      <c r="A13" s="2">
        <v>2010</v>
      </c>
      <c r="B13" s="23">
        <v>7377256</v>
      </c>
      <c r="C13" s="28">
        <f t="shared" si="0"/>
        <v>0.1527492471350882</v>
      </c>
      <c r="D13" s="9">
        <f t="shared" si="1"/>
        <v>1098549.673008484</v>
      </c>
      <c r="G13" s="37" t="s">
        <v>108</v>
      </c>
      <c r="H13" s="38">
        <f>2074765*0.85</f>
        <v>1763550.25</v>
      </c>
      <c r="I13" s="39">
        <f>H13/$H$14</f>
        <v>0.0705420092945799</v>
      </c>
      <c r="J13" s="43">
        <f>I13*$B$6</f>
        <v>123448.51626551485</v>
      </c>
    </row>
    <row r="14" spans="1:10" ht="12.75">
      <c r="A14" s="2">
        <v>2011</v>
      </c>
      <c r="B14" s="23">
        <v>7898065</v>
      </c>
      <c r="C14" s="28">
        <f t="shared" si="0"/>
        <v>0.16353282068210598</v>
      </c>
      <c r="D14" s="9">
        <f t="shared" si="1"/>
        <v>1176103.516422604</v>
      </c>
      <c r="G14" s="33" t="s">
        <v>46</v>
      </c>
      <c r="H14" s="40">
        <f>SUM(H9:H13)</f>
        <v>25000000.25</v>
      </c>
      <c r="I14" s="41"/>
      <c r="J14" s="44">
        <f>SUM(J9:J13)</f>
        <v>1750000</v>
      </c>
    </row>
    <row r="15" spans="1:4" ht="12.75">
      <c r="A15" s="2">
        <v>2012</v>
      </c>
      <c r="B15" s="23">
        <v>8421780</v>
      </c>
      <c r="C15" s="28">
        <f t="shared" si="0"/>
        <v>0.17437656420454206</v>
      </c>
      <c r="D15" s="9">
        <f t="shared" si="1"/>
        <v>1254090.0932744357</v>
      </c>
    </row>
    <row r="16" spans="1:4" ht="12.75">
      <c r="A16" s="2">
        <v>2013</v>
      </c>
      <c r="B16" s="23">
        <v>8944293</v>
      </c>
      <c r="C16" s="28">
        <f t="shared" si="0"/>
        <v>0.1851954198018395</v>
      </c>
      <c r="D16" s="9">
        <f t="shared" si="1"/>
        <v>1331897.6799018595</v>
      </c>
    </row>
    <row r="17" spans="1:4" ht="12.75">
      <c r="A17" s="3" t="s">
        <v>3</v>
      </c>
      <c r="B17" s="24">
        <f>SUM(B10:B16)</f>
        <v>48296513</v>
      </c>
      <c r="C17" s="29"/>
      <c r="D17" s="10">
        <f>SUM(D10:D16)</f>
        <v>7191850.000000001</v>
      </c>
    </row>
    <row r="20" ht="15.75">
      <c r="A20" s="25" t="s">
        <v>151</v>
      </c>
    </row>
    <row r="21" spans="1:13" ht="51">
      <c r="A21" s="77" t="s">
        <v>4</v>
      </c>
      <c r="B21" s="78" t="s">
        <v>5</v>
      </c>
      <c r="C21" s="78" t="s">
        <v>6</v>
      </c>
      <c r="D21" s="78" t="s">
        <v>7</v>
      </c>
      <c r="E21" s="119" t="s">
        <v>182</v>
      </c>
      <c r="F21" s="119" t="s">
        <v>139</v>
      </c>
      <c r="G21" s="119" t="s">
        <v>138</v>
      </c>
      <c r="H21" s="119" t="s">
        <v>141</v>
      </c>
      <c r="I21" s="119" t="s">
        <v>142</v>
      </c>
      <c r="J21" s="119" t="s">
        <v>147</v>
      </c>
      <c r="K21" s="119" t="s">
        <v>145</v>
      </c>
      <c r="L21" s="119" t="s">
        <v>146</v>
      </c>
      <c r="M21" s="119" t="s">
        <v>144</v>
      </c>
    </row>
    <row r="22" spans="1:13" ht="12.75">
      <c r="A22" s="71"/>
      <c r="B22" s="79"/>
      <c r="C22" s="79"/>
      <c r="D22" s="79"/>
      <c r="E22" s="80"/>
      <c r="F22" s="80"/>
      <c r="G22" s="81"/>
      <c r="H22" s="81"/>
      <c r="I22" s="81"/>
      <c r="J22" s="81"/>
      <c r="K22" s="81"/>
      <c r="L22" s="81"/>
      <c r="M22" s="81"/>
    </row>
    <row r="23" spans="1:13" ht="12.75">
      <c r="A23" s="82" t="s">
        <v>8</v>
      </c>
      <c r="B23" s="83">
        <v>0</v>
      </c>
      <c r="C23" s="83">
        <v>0</v>
      </c>
      <c r="D23" s="83">
        <v>0</v>
      </c>
      <c r="E23" s="80"/>
      <c r="F23" s="80"/>
      <c r="G23" s="81">
        <f>'Call CA'!H48</f>
        <v>0</v>
      </c>
      <c r="H23" s="81"/>
      <c r="I23" s="81"/>
      <c r="J23" s="81">
        <f>'Call CA'!K48</f>
        <v>0</v>
      </c>
      <c r="K23" s="81"/>
      <c r="L23" s="81"/>
      <c r="M23" s="81">
        <f>'Call CA'!N48</f>
        <v>0</v>
      </c>
    </row>
    <row r="24" spans="1:13" ht="12.75">
      <c r="A24" s="82" t="s">
        <v>9</v>
      </c>
      <c r="B24" s="83">
        <v>0</v>
      </c>
      <c r="C24" s="83">
        <v>0</v>
      </c>
      <c r="D24" s="83">
        <v>0</v>
      </c>
      <c r="E24" s="80"/>
      <c r="F24" s="80"/>
      <c r="G24" s="81">
        <f>'Call CA'!H49</f>
        <v>0</v>
      </c>
      <c r="H24" s="81"/>
      <c r="I24" s="81"/>
      <c r="J24" s="81">
        <f>'Call CA'!K49</f>
        <v>0</v>
      </c>
      <c r="K24" s="81"/>
      <c r="L24" s="81"/>
      <c r="M24" s="81">
        <f>'Call CA'!N49</f>
        <v>0</v>
      </c>
    </row>
    <row r="25" spans="1:13" ht="12.75">
      <c r="A25" s="82" t="s">
        <v>10</v>
      </c>
      <c r="B25" s="83">
        <v>0</v>
      </c>
      <c r="C25" s="83">
        <v>0</v>
      </c>
      <c r="D25" s="83">
        <v>0</v>
      </c>
      <c r="E25" s="80"/>
      <c r="F25" s="80"/>
      <c r="G25" s="81">
        <f>'Call CA'!H50</f>
        <v>0</v>
      </c>
      <c r="H25" s="81"/>
      <c r="I25" s="81"/>
      <c r="J25" s="81">
        <f>'Call CA'!K50</f>
        <v>0</v>
      </c>
      <c r="K25" s="81"/>
      <c r="L25" s="81"/>
      <c r="M25" s="81">
        <f>'Call CA'!N50</f>
        <v>0</v>
      </c>
    </row>
    <row r="26" spans="1:13" ht="12.75">
      <c r="A26" s="82" t="s">
        <v>11</v>
      </c>
      <c r="B26" s="83">
        <f>D10</f>
        <v>523032.6657330313</v>
      </c>
      <c r="C26" s="83">
        <v>0</v>
      </c>
      <c r="D26" s="83">
        <v>0</v>
      </c>
      <c r="E26" s="80"/>
      <c r="F26" s="80"/>
      <c r="G26" s="81">
        <f>'Call CA'!H51</f>
        <v>0</v>
      </c>
      <c r="H26" s="81"/>
      <c r="I26" s="81"/>
      <c r="J26" s="81">
        <f>'Call CA'!K51</f>
        <v>0</v>
      </c>
      <c r="K26" s="81"/>
      <c r="L26" s="81"/>
      <c r="M26" s="81">
        <f>'Call CA'!N51</f>
        <v>0</v>
      </c>
    </row>
    <row r="27" spans="1:13" ht="12.75">
      <c r="A27" s="82" t="s">
        <v>12</v>
      </c>
      <c r="B27" s="83">
        <f>B26+D11</f>
        <v>1288684.9426375772</v>
      </c>
      <c r="C27" s="83">
        <v>0</v>
      </c>
      <c r="D27" s="83">
        <v>0</v>
      </c>
      <c r="E27" s="80"/>
      <c r="F27" s="80"/>
      <c r="G27" s="81">
        <f>'Call CA'!H52</f>
        <v>0</v>
      </c>
      <c r="H27" s="81"/>
      <c r="I27" s="81"/>
      <c r="J27" s="81">
        <f>'Call CA'!K52</f>
        <v>0</v>
      </c>
      <c r="K27" s="81"/>
      <c r="L27" s="81"/>
      <c r="M27" s="81">
        <f>'Call CA'!N52</f>
        <v>0</v>
      </c>
    </row>
    <row r="28" spans="1:13" ht="12.75">
      <c r="A28" s="82" t="s">
        <v>13</v>
      </c>
      <c r="B28" s="83">
        <f>B27</f>
        <v>1288684.9426375772</v>
      </c>
      <c r="C28" s="83">
        <v>0</v>
      </c>
      <c r="D28" s="83">
        <v>0</v>
      </c>
      <c r="E28" s="122">
        <f>'Call CA'!F53</f>
        <v>1216528.3025620836</v>
      </c>
      <c r="F28" s="84"/>
      <c r="G28" s="84">
        <f>'Call CA'!H53</f>
        <v>0</v>
      </c>
      <c r="H28" s="122">
        <f>'Call CA'!I53</f>
        <v>0</v>
      </c>
      <c r="I28" s="84">
        <f>'Call CA'!J53</f>
        <v>0</v>
      </c>
      <c r="J28" s="84">
        <f>'Call CA'!K53</f>
        <v>0</v>
      </c>
      <c r="K28" s="84">
        <f>'Call CA'!L53</f>
        <v>0</v>
      </c>
      <c r="L28" s="84">
        <f>'Call CA'!M53</f>
        <v>0</v>
      </c>
      <c r="M28" s="81">
        <f>'Call CA'!N53</f>
        <v>0</v>
      </c>
    </row>
    <row r="29" spans="1:13" ht="12.75">
      <c r="A29" s="82" t="s">
        <v>14</v>
      </c>
      <c r="B29" s="83">
        <f>B28</f>
        <v>1288684.9426375772</v>
      </c>
      <c r="C29" s="83">
        <v>0</v>
      </c>
      <c r="D29" s="83">
        <v>0</v>
      </c>
      <c r="E29" s="122">
        <f>'Call CA'!F54</f>
        <v>2053129.643169396</v>
      </c>
      <c r="F29" s="84"/>
      <c r="G29" s="81">
        <f>'Call CA'!H54</f>
        <v>0</v>
      </c>
      <c r="H29" s="122">
        <f>'Call CA'!I54</f>
        <v>0</v>
      </c>
      <c r="I29" s="81"/>
      <c r="J29" s="81">
        <f>'Call CA'!K54</f>
        <v>0</v>
      </c>
      <c r="K29" s="84">
        <f>'Call CA'!L54</f>
        <v>0</v>
      </c>
      <c r="L29" s="81"/>
      <c r="M29" s="81">
        <f>'Call CA'!N54</f>
        <v>0</v>
      </c>
    </row>
    <row r="30" spans="1:13" ht="12.75">
      <c r="A30" s="82" t="s">
        <v>15</v>
      </c>
      <c r="B30" s="83">
        <f>B29</f>
        <v>1288684.9426375772</v>
      </c>
      <c r="C30" s="83">
        <v>0</v>
      </c>
      <c r="D30" s="83">
        <v>0</v>
      </c>
      <c r="E30" s="122">
        <f>'Call CA'!F55</f>
        <v>2053129.643169396</v>
      </c>
      <c r="F30" s="84"/>
      <c r="G30" s="81">
        <f>'Call CA'!H55</f>
        <v>0</v>
      </c>
      <c r="H30" s="122">
        <f>'Call CA'!I55</f>
        <v>279011.97956877644</v>
      </c>
      <c r="I30" s="81"/>
      <c r="J30" s="81">
        <f>'Call CA'!K55</f>
        <v>0</v>
      </c>
      <c r="K30" s="84">
        <f>'Call CA'!L55</f>
        <v>0</v>
      </c>
      <c r="L30" s="81"/>
      <c r="M30" s="81">
        <f>'Call CA'!N55</f>
        <v>0</v>
      </c>
    </row>
    <row r="31" spans="1:13" ht="12.75">
      <c r="A31" s="82" t="s">
        <v>16</v>
      </c>
      <c r="B31" s="83">
        <f>B30+D12</f>
        <v>2331209.0373926167</v>
      </c>
      <c r="C31" s="83">
        <v>0</v>
      </c>
      <c r="D31" s="83">
        <v>0</v>
      </c>
      <c r="E31" s="122">
        <f>'Call CA'!F56</f>
        <v>3017937.42298666</v>
      </c>
      <c r="F31" s="84"/>
      <c r="G31" s="81">
        <f>'Call CA'!H56</f>
        <v>0</v>
      </c>
      <c r="H31" s="122">
        <f>'Call CA'!I56</f>
        <v>558023.9591375529</v>
      </c>
      <c r="I31" s="81"/>
      <c r="J31" s="81">
        <f>'Call CA'!K56</f>
        <v>0</v>
      </c>
      <c r="K31" s="84">
        <f>'Call CA'!L56</f>
        <v>0</v>
      </c>
      <c r="L31" s="81"/>
      <c r="M31" s="81">
        <f>'Call CA'!N56</f>
        <v>0</v>
      </c>
    </row>
    <row r="32" spans="1:13" ht="12.75">
      <c r="A32" s="82" t="s">
        <v>17</v>
      </c>
      <c r="B32" s="83">
        <f>B31</f>
        <v>2331209.0373926167</v>
      </c>
      <c r="C32" s="83">
        <v>0</v>
      </c>
      <c r="D32" s="83">
        <v>0</v>
      </c>
      <c r="E32" s="122">
        <f>'Call CA'!F57</f>
        <v>3017937.42298666</v>
      </c>
      <c r="F32" s="84"/>
      <c r="G32" s="81">
        <f>'Call CA'!H57</f>
        <v>0</v>
      </c>
      <c r="H32" s="122">
        <f>'Call CA'!I57</f>
        <v>930039.9318959215</v>
      </c>
      <c r="I32" s="81"/>
      <c r="J32" s="81">
        <f>'Call CA'!K57</f>
        <v>0</v>
      </c>
      <c r="K32" s="84">
        <f>'Call CA'!L57</f>
        <v>279011.97956877644</v>
      </c>
      <c r="L32" s="81"/>
      <c r="M32" s="81">
        <f>'Call CA'!N57</f>
        <v>0</v>
      </c>
    </row>
    <row r="33" spans="1:13" ht="12.75">
      <c r="A33" s="82" t="s">
        <v>18</v>
      </c>
      <c r="B33" s="83">
        <f>B32</f>
        <v>2331209.0373926167</v>
      </c>
      <c r="C33" s="83">
        <v>0</v>
      </c>
      <c r="D33" s="83">
        <v>0</v>
      </c>
      <c r="E33" s="122">
        <f>'Call CA'!F58</f>
        <v>3017937.42298666</v>
      </c>
      <c r="F33" s="84"/>
      <c r="G33" s="81">
        <f>'Call CA'!H58</f>
        <v>0</v>
      </c>
      <c r="H33" s="122">
        <f>'Call CA'!I58</f>
        <v>1228608.8259204533</v>
      </c>
      <c r="I33" s="81"/>
      <c r="J33" s="81">
        <f>'Call CA'!K58</f>
        <v>0</v>
      </c>
      <c r="K33" s="84">
        <f>'Call CA'!L58</f>
        <v>558023.9591375529</v>
      </c>
      <c r="L33" s="81"/>
      <c r="M33" s="81">
        <f>'Call CA'!N58</f>
        <v>0</v>
      </c>
    </row>
    <row r="34" spans="1:13" ht="12.75">
      <c r="A34" s="82" t="s">
        <v>19</v>
      </c>
      <c r="B34" s="83">
        <f>B33</f>
        <v>2331209.0373926167</v>
      </c>
      <c r="C34" s="83">
        <v>0</v>
      </c>
      <c r="D34" s="83">
        <v>0</v>
      </c>
      <c r="E34" s="122">
        <f>'Call CA'!F59</f>
        <v>3017937.42298666</v>
      </c>
      <c r="F34" s="84"/>
      <c r="G34" s="81">
        <f>'Call CA'!H59</f>
        <v>0</v>
      </c>
      <c r="H34" s="122">
        <f>'Call CA'!I59</f>
        <v>1601819.943451118</v>
      </c>
      <c r="I34" s="81"/>
      <c r="J34" s="81">
        <f>'Call CA'!K59</f>
        <v>0</v>
      </c>
      <c r="K34" s="84">
        <f>'Call CA'!L59</f>
        <v>930039.9318959215</v>
      </c>
      <c r="L34" s="81"/>
      <c r="M34" s="81">
        <f>'Call CA'!N59</f>
        <v>0</v>
      </c>
    </row>
    <row r="35" spans="1:13" ht="12.75">
      <c r="A35" s="82" t="s">
        <v>20</v>
      </c>
      <c r="B35" s="83">
        <f>B34+D13</f>
        <v>3429758.710401101</v>
      </c>
      <c r="C35" s="83">
        <v>0</v>
      </c>
      <c r="D35" s="83">
        <v>0</v>
      </c>
      <c r="E35" s="122">
        <f>'Call CA'!F60</f>
        <v>4373883.491919031</v>
      </c>
      <c r="F35" s="84"/>
      <c r="G35" s="81">
        <f>'Call CA'!H60</f>
        <v>0</v>
      </c>
      <c r="H35" s="122">
        <f>'Call CA'!I60</f>
        <v>2049673.2844879157</v>
      </c>
      <c r="I35" s="81"/>
      <c r="J35" s="81">
        <f>'Call CA'!K60</f>
        <v>0</v>
      </c>
      <c r="K35" s="84">
        <f>'Call CA'!L60</f>
        <v>1228608.8259204533</v>
      </c>
      <c r="L35" s="81"/>
      <c r="M35" s="81">
        <f>'Call CA'!N60</f>
        <v>0</v>
      </c>
    </row>
    <row r="36" spans="1:13" ht="12.75">
      <c r="A36" s="82" t="s">
        <v>21</v>
      </c>
      <c r="B36" s="83">
        <f>B35</f>
        <v>3429758.710401101</v>
      </c>
      <c r="C36" s="83">
        <v>0</v>
      </c>
      <c r="D36" s="83">
        <v>0</v>
      </c>
      <c r="E36" s="122">
        <f>'Call CA'!F61</f>
        <v>4373883.491919031</v>
      </c>
      <c r="F36" s="84"/>
      <c r="G36" s="81">
        <f>'Call CA'!H61</f>
        <v>0</v>
      </c>
      <c r="H36" s="122">
        <f>'Call CA'!I61</f>
        <v>2422884.4020185806</v>
      </c>
      <c r="I36" s="81"/>
      <c r="J36" s="81">
        <f>'Call CA'!K61</f>
        <v>0</v>
      </c>
      <c r="K36" s="84">
        <f>'Call CA'!L61</f>
        <v>1601819.943451118</v>
      </c>
      <c r="L36" s="81"/>
      <c r="M36" s="81">
        <f>'Call CA'!N61</f>
        <v>0</v>
      </c>
    </row>
    <row r="37" spans="1:13" ht="12.75">
      <c r="A37" s="82" t="s">
        <v>22</v>
      </c>
      <c r="B37" s="83">
        <f>B36</f>
        <v>3429758.710401101</v>
      </c>
      <c r="C37" s="83">
        <v>0</v>
      </c>
      <c r="D37" s="83">
        <v>0</v>
      </c>
      <c r="E37" s="122">
        <f>'Call CA'!F62</f>
        <v>4373883.491919031</v>
      </c>
      <c r="F37" s="84"/>
      <c r="G37" s="81">
        <f>'Call CA'!H62</f>
        <v>0</v>
      </c>
      <c r="H37" s="122">
        <f>'Call CA'!I62</f>
        <v>2720769.673233359</v>
      </c>
      <c r="I37" s="81"/>
      <c r="J37" s="81">
        <f>'Call CA'!K62</f>
        <v>0</v>
      </c>
      <c r="K37" s="84">
        <f>'Call CA'!L62</f>
        <v>2049673.2844879157</v>
      </c>
      <c r="L37" s="81"/>
      <c r="M37" s="81">
        <f>'Call CA'!N62</f>
        <v>0</v>
      </c>
    </row>
    <row r="38" spans="1:13" ht="12.75">
      <c r="A38" s="82" t="s">
        <v>23</v>
      </c>
      <c r="B38" s="83">
        <f>B37</f>
        <v>3429758.710401101</v>
      </c>
      <c r="C38" s="83">
        <f>B26</f>
        <v>523032.6657330313</v>
      </c>
      <c r="D38" s="83">
        <f>C38-$J$10</f>
        <v>19603.1707673262</v>
      </c>
      <c r="E38" s="122">
        <f>'Call CA'!F63</f>
        <v>4373883.491919031</v>
      </c>
      <c r="F38" s="84"/>
      <c r="G38" s="81">
        <f>'Call CA'!H63</f>
        <v>0</v>
      </c>
      <c r="H38" s="122">
        <f>'Call CA'!I63</f>
        <v>3167597.5800555265</v>
      </c>
      <c r="I38" s="81"/>
      <c r="J38" s="81">
        <f>'Call CA'!K63</f>
        <v>0</v>
      </c>
      <c r="K38" s="84">
        <f>'Call CA'!L63</f>
        <v>2422884.4020185806</v>
      </c>
      <c r="L38" s="81"/>
      <c r="M38" s="81">
        <f>'Call CA'!N63</f>
        <v>0</v>
      </c>
    </row>
    <row r="39" spans="1:13" ht="12.75">
      <c r="A39" s="82" t="s">
        <v>24</v>
      </c>
      <c r="B39" s="83">
        <f>B38+D14</f>
        <v>4605862.226823705</v>
      </c>
      <c r="C39" s="83">
        <f>C38</f>
        <v>523032.6657330313</v>
      </c>
      <c r="D39" s="83">
        <f>C39-$J$9</f>
        <v>84815.17011520616</v>
      </c>
      <c r="E39" s="122">
        <f>'Call CA'!F64</f>
        <v>4895401.210739174</v>
      </c>
      <c r="F39" s="84"/>
      <c r="G39" s="81">
        <f>'Call CA'!H64</f>
        <v>0</v>
      </c>
      <c r="H39" s="122">
        <f>'Call CA'!I64</f>
        <v>3614425.486877694</v>
      </c>
      <c r="I39" s="81"/>
      <c r="J39" s="81">
        <f>'Call CA'!K64</f>
        <v>0</v>
      </c>
      <c r="K39" s="84">
        <f>'Call CA'!L64</f>
        <v>2720769.673233359</v>
      </c>
      <c r="L39" s="81"/>
      <c r="M39" s="81">
        <f>'Call CA'!N64</f>
        <v>0</v>
      </c>
    </row>
    <row r="40" spans="1:13" ht="12.75">
      <c r="A40" s="82" t="s">
        <v>25</v>
      </c>
      <c r="B40" s="83">
        <f>B39</f>
        <v>4605862.226823705</v>
      </c>
      <c r="C40" s="83">
        <f>C39</f>
        <v>523032.6657330313</v>
      </c>
      <c r="D40" s="83">
        <f>C40-$J$9</f>
        <v>84815.17011520616</v>
      </c>
      <c r="E40" s="122">
        <f>'Call CA'!F65</f>
        <v>4895401.210739174</v>
      </c>
      <c r="F40" s="84"/>
      <c r="G40" s="81">
        <f>'Call CA'!H65</f>
        <v>0</v>
      </c>
      <c r="H40" s="122">
        <f>'Call CA'!I65</f>
        <v>3912310.7580924723</v>
      </c>
      <c r="I40" s="81"/>
      <c r="J40" s="81">
        <f>'Call CA'!K65</f>
        <v>0</v>
      </c>
      <c r="K40" s="84">
        <f>'Call CA'!L65</f>
        <v>3167597.5800555265</v>
      </c>
      <c r="L40" s="81"/>
      <c r="M40" s="81">
        <f>'Call CA'!N65</f>
        <v>0</v>
      </c>
    </row>
    <row r="41" spans="1:13" ht="12.75">
      <c r="A41" s="82" t="s">
        <v>26</v>
      </c>
      <c r="B41" s="83">
        <f>B40</f>
        <v>4605862.226823705</v>
      </c>
      <c r="C41" s="83">
        <f>C40</f>
        <v>523032.6657330313</v>
      </c>
      <c r="D41" s="83">
        <f>C41-$J$10</f>
        <v>19603.1707673262</v>
      </c>
      <c r="E41" s="122">
        <f>'Call CA'!F66</f>
        <v>4895401.210739174</v>
      </c>
      <c r="F41" s="84"/>
      <c r="G41" s="81">
        <f>'Call CA'!H66</f>
        <v>0</v>
      </c>
      <c r="H41" s="122">
        <f>'Call CA'!I66</f>
        <v>4199145.503443551</v>
      </c>
      <c r="I41" s="81"/>
      <c r="J41" s="81">
        <f>'Call CA'!K66</f>
        <v>0</v>
      </c>
      <c r="K41" s="84">
        <f>'Call CA'!L66</f>
        <v>3614425.486877694</v>
      </c>
      <c r="L41" s="81"/>
      <c r="M41" s="81">
        <f>'Call CA'!N66</f>
        <v>0</v>
      </c>
    </row>
    <row r="42" spans="1:13" ht="12.75">
      <c r="A42" s="82" t="s">
        <v>27</v>
      </c>
      <c r="B42" s="83">
        <f>B41</f>
        <v>4605862.226823705</v>
      </c>
      <c r="C42" s="83">
        <f>B27</f>
        <v>1288684.9426375772</v>
      </c>
      <c r="D42" s="83">
        <f>C42-$J$10</f>
        <v>785255.4476718721</v>
      </c>
      <c r="E42" s="122">
        <f>'Call CA'!F67</f>
        <v>4895401.210739174</v>
      </c>
      <c r="F42" s="84"/>
      <c r="G42" s="81">
        <f>'Call CA'!H67</f>
        <v>0</v>
      </c>
      <c r="H42" s="122">
        <f>'Call CA'!I67</f>
        <v>4438174.4579027835</v>
      </c>
      <c r="I42" s="81"/>
      <c r="J42" s="81">
        <f>'Call CA'!K67</f>
        <v>0</v>
      </c>
      <c r="K42" s="84">
        <f>'Call CA'!L67</f>
        <v>3912310.7580924723</v>
      </c>
      <c r="L42" s="81"/>
      <c r="M42" s="81">
        <f>'Call CA'!N67</f>
        <v>0</v>
      </c>
    </row>
    <row r="43" spans="1:13" ht="12.75">
      <c r="A43" s="82" t="s">
        <v>28</v>
      </c>
      <c r="B43" s="83">
        <f>B42+D15</f>
        <v>5859952.320098141</v>
      </c>
      <c r="C43" s="83">
        <f>C42</f>
        <v>1288684.9426375772</v>
      </c>
      <c r="D43" s="83">
        <f>C43-$J$10</f>
        <v>785255.4476718721</v>
      </c>
      <c r="E43" s="122">
        <f>'Call CA'!F68</f>
        <v>6249670.600205539</v>
      </c>
      <c r="F43" s="84"/>
      <c r="G43" s="81">
        <f>'Call CA'!H68</f>
        <v>0</v>
      </c>
      <c r="H43" s="122">
        <f>'Call CA'!I68</f>
        <v>4677203.412362016</v>
      </c>
      <c r="I43" s="81"/>
      <c r="J43" s="81">
        <f>'Call CA'!K68</f>
        <v>0</v>
      </c>
      <c r="K43" s="84">
        <f>'Call CA'!L68</f>
        <v>4199145.503443551</v>
      </c>
      <c r="L43" s="81"/>
      <c r="M43" s="81">
        <f>'Call CA'!N68</f>
        <v>0</v>
      </c>
    </row>
    <row r="44" spans="1:13" ht="12.75">
      <c r="A44" s="82" t="s">
        <v>29</v>
      </c>
      <c r="B44" s="83">
        <f>B43</f>
        <v>5859952.320098141</v>
      </c>
      <c r="C44" s="83">
        <f>C43</f>
        <v>1288684.9426375772</v>
      </c>
      <c r="D44" s="83">
        <f>C44-$J$9</f>
        <v>850467.4470197521</v>
      </c>
      <c r="E44" s="122">
        <f>'Call CA'!F69</f>
        <v>6249670.600205539</v>
      </c>
      <c r="F44" s="84"/>
      <c r="G44" s="81">
        <f>'Call CA'!H69</f>
        <v>0</v>
      </c>
      <c r="H44" s="122">
        <f>'Call CA'!I69</f>
        <v>4868426.575929401</v>
      </c>
      <c r="I44" s="81"/>
      <c r="J44" s="81">
        <f>'Call CA'!K69</f>
        <v>0</v>
      </c>
      <c r="K44" s="84">
        <f>'Call CA'!L69</f>
        <v>4438174.4579027835</v>
      </c>
      <c r="L44" s="81"/>
      <c r="M44" s="81">
        <f>'Call CA'!N69</f>
        <v>0</v>
      </c>
    </row>
    <row r="45" spans="1:13" ht="12.75">
      <c r="A45" s="82" t="s">
        <v>30</v>
      </c>
      <c r="B45" s="83">
        <f>B44</f>
        <v>5859952.320098141</v>
      </c>
      <c r="C45" s="83">
        <f>C44</f>
        <v>1288684.9426375772</v>
      </c>
      <c r="D45" s="83">
        <f>C45-$J$9</f>
        <v>850467.4470197521</v>
      </c>
      <c r="E45" s="122">
        <f>'Call CA'!F70</f>
        <v>6249670.600205539</v>
      </c>
      <c r="F45" s="84"/>
      <c r="G45" s="81">
        <f>'Call CA'!H70</f>
        <v>0</v>
      </c>
      <c r="H45" s="122">
        <f>'Call CA'!I70</f>
        <v>5154758.317440678</v>
      </c>
      <c r="I45" s="81"/>
      <c r="J45" s="81">
        <f>'Call CA'!K70</f>
        <v>0</v>
      </c>
      <c r="K45" s="84">
        <f>'Call CA'!L70</f>
        <v>4677203.412362016</v>
      </c>
      <c r="L45" s="81"/>
      <c r="M45" s="81">
        <f>'Call CA'!N70</f>
        <v>0</v>
      </c>
    </row>
    <row r="46" spans="1:13" ht="12.75">
      <c r="A46" s="82" t="s">
        <v>31</v>
      </c>
      <c r="B46" s="83">
        <f>B45</f>
        <v>5859952.320098141</v>
      </c>
      <c r="C46" s="83">
        <f>B34</f>
        <v>2331209.0373926167</v>
      </c>
      <c r="D46" s="83">
        <f>C46-$J$10</f>
        <v>1827779.5424269116</v>
      </c>
      <c r="E46" s="122">
        <f>'Call CA'!F71</f>
        <v>6249670.600205539</v>
      </c>
      <c r="F46" s="84"/>
      <c r="G46" s="81">
        <f>'Call CA'!H71</f>
        <v>0</v>
      </c>
      <c r="H46" s="122">
        <f>'Call CA'!I71</f>
        <v>5441090.058951955</v>
      </c>
      <c r="I46" s="81"/>
      <c r="J46" s="81">
        <f>'Call CA'!K71</f>
        <v>0</v>
      </c>
      <c r="K46" s="84">
        <f>'Call CA'!L71</f>
        <v>4868426.575929401</v>
      </c>
      <c r="L46" s="81"/>
      <c r="M46" s="81">
        <f>'Call CA'!N71</f>
        <v>0</v>
      </c>
    </row>
    <row r="47" spans="1:13" ht="12.75">
      <c r="A47" s="82" t="s">
        <v>32</v>
      </c>
      <c r="B47" s="83">
        <f>B46+D16</f>
        <v>7191850.000000001</v>
      </c>
      <c r="C47" s="83">
        <f>C46</f>
        <v>2331209.0373926167</v>
      </c>
      <c r="D47" s="83">
        <f>C47-$J$10</f>
        <v>1827779.5424269116</v>
      </c>
      <c r="E47" s="122">
        <f>'Call CA'!F72</f>
        <v>7191849.361012971</v>
      </c>
      <c r="F47" s="84"/>
      <c r="G47" s="81">
        <f>'Call CA'!H72</f>
        <v>0</v>
      </c>
      <c r="H47" s="122">
        <f>'Call CA'!I72</f>
        <v>5631977.886626139</v>
      </c>
      <c r="I47" s="81"/>
      <c r="J47" s="81">
        <f>'Call CA'!K72</f>
        <v>0</v>
      </c>
      <c r="K47" s="84">
        <f>'Call CA'!L72</f>
        <v>5154758.317440678</v>
      </c>
      <c r="L47" s="81"/>
      <c r="M47" s="81">
        <f>'Call CA'!N72</f>
        <v>0</v>
      </c>
    </row>
    <row r="48" spans="1:13" ht="12.75">
      <c r="A48" s="82" t="s">
        <v>33</v>
      </c>
      <c r="B48" s="83">
        <f aca="true" t="shared" si="2" ref="B48:B58">$B$47</f>
        <v>7191850.000000001</v>
      </c>
      <c r="C48" s="83">
        <f>C47</f>
        <v>2331209.0373926167</v>
      </c>
      <c r="D48" s="83">
        <f>C48-$J$10</f>
        <v>1827779.5424269116</v>
      </c>
      <c r="E48" s="122">
        <f>'Call CA'!F73</f>
        <v>7191849.361012971</v>
      </c>
      <c r="F48" s="84"/>
      <c r="G48" s="81">
        <f>'Call CA'!H73</f>
        <v>0</v>
      </c>
      <c r="H48" s="122">
        <f>'Call CA'!I73</f>
        <v>5822865.714300323</v>
      </c>
      <c r="I48" s="81"/>
      <c r="J48" s="81">
        <f>'Call CA'!K73</f>
        <v>0</v>
      </c>
      <c r="K48" s="84">
        <f>'Call CA'!L73</f>
        <v>5441090.058951955</v>
      </c>
      <c r="L48" s="81"/>
      <c r="M48" s="81">
        <f>'Call CA'!N73</f>
        <v>0</v>
      </c>
    </row>
    <row r="49" spans="1:13" ht="12.75">
      <c r="A49" s="82" t="s">
        <v>34</v>
      </c>
      <c r="B49" s="83">
        <f t="shared" si="2"/>
        <v>7191850.000000001</v>
      </c>
      <c r="C49" s="83">
        <f>C48</f>
        <v>2331209.0373926167</v>
      </c>
      <c r="D49" s="83">
        <f>C49-$J$9</f>
        <v>1892991.5417747917</v>
      </c>
      <c r="E49" s="122">
        <f>'Call CA'!F74</f>
        <v>7191849.361012971</v>
      </c>
      <c r="F49" s="84"/>
      <c r="G49" s="81">
        <f>'Call CA'!H74</f>
        <v>0</v>
      </c>
      <c r="H49" s="122">
        <f>'Call CA'!I74</f>
        <v>6027126.820838213</v>
      </c>
      <c r="I49" s="81"/>
      <c r="J49" s="81">
        <f>'Call CA'!K74</f>
        <v>0</v>
      </c>
      <c r="K49" s="84">
        <f>'Call CA'!L74</f>
        <v>5631977.886626139</v>
      </c>
      <c r="L49" s="81"/>
      <c r="M49" s="81">
        <f>'Call CA'!N74</f>
        <v>0</v>
      </c>
    </row>
    <row r="50" spans="1:13" ht="12.75">
      <c r="A50" s="82" t="s">
        <v>35</v>
      </c>
      <c r="B50" s="83">
        <f t="shared" si="2"/>
        <v>7191850.000000001</v>
      </c>
      <c r="C50" s="83">
        <f>B35+D14</f>
        <v>4605862.226823705</v>
      </c>
      <c r="D50" s="83">
        <f>C50-$J$9</f>
        <v>4167644.73120588</v>
      </c>
      <c r="E50" s="122">
        <f>'Call CA'!F75</f>
        <v>7191849.361012971</v>
      </c>
      <c r="F50" s="84"/>
      <c r="G50" s="81">
        <f>'Call CA'!H75</f>
        <v>0</v>
      </c>
      <c r="H50" s="122">
        <f>'Call CA'!I75</f>
        <v>6231387.927376103</v>
      </c>
      <c r="I50" s="81"/>
      <c r="J50" s="81">
        <f>'Call CA'!K75</f>
        <v>0</v>
      </c>
      <c r="K50" s="84">
        <f>'Call CA'!L75</f>
        <v>5822865.714300323</v>
      </c>
      <c r="L50" s="81"/>
      <c r="M50" s="81">
        <f>'Call CA'!N75</f>
        <v>0</v>
      </c>
    </row>
    <row r="51" spans="1:13" ht="12.75">
      <c r="A51" s="82" t="s">
        <v>36</v>
      </c>
      <c r="B51" s="83">
        <f t="shared" si="2"/>
        <v>7191850.000000001</v>
      </c>
      <c r="C51" s="83">
        <f>C50</f>
        <v>4605862.226823705</v>
      </c>
      <c r="D51" s="83">
        <f>C51-$J$10</f>
        <v>4102432.731858</v>
      </c>
      <c r="E51" s="122">
        <f>'Call CA'!F76</f>
        <v>7191849.361012971</v>
      </c>
      <c r="F51" s="84"/>
      <c r="G51" s="81">
        <f>'Call CA'!H76</f>
        <v>0</v>
      </c>
      <c r="H51" s="122">
        <f>'Call CA'!I76</f>
        <v>6435649.033913992</v>
      </c>
      <c r="I51" s="81"/>
      <c r="J51" s="81">
        <f>'Call CA'!K76</f>
        <v>0</v>
      </c>
      <c r="K51" s="84">
        <f>'Call CA'!L76</f>
        <v>6027126.820838213</v>
      </c>
      <c r="L51" s="81"/>
      <c r="M51" s="81">
        <f>'Call CA'!N76</f>
        <v>0</v>
      </c>
    </row>
    <row r="52" spans="1:13" ht="12.75">
      <c r="A52" s="82" t="s">
        <v>37</v>
      </c>
      <c r="B52" s="83">
        <f t="shared" si="2"/>
        <v>7191850.000000001</v>
      </c>
      <c r="C52" s="83">
        <f>C51</f>
        <v>4605862.226823705</v>
      </c>
      <c r="D52" s="83">
        <f>C52-$J$10</f>
        <v>4102432.731858</v>
      </c>
      <c r="E52" s="122">
        <f>'Call CA'!F77</f>
        <v>7191849.361012971</v>
      </c>
      <c r="F52" s="84"/>
      <c r="G52" s="81">
        <f>'Call CA'!H77</f>
        <v>0</v>
      </c>
      <c r="H52" s="122">
        <f>'Call CA'!I77</f>
        <v>6639910.140451882</v>
      </c>
      <c r="I52" s="81"/>
      <c r="J52" s="81">
        <f>'Call CA'!K77</f>
        <v>0</v>
      </c>
      <c r="K52" s="84">
        <f>'Call CA'!L77</f>
        <v>6231387.927376103</v>
      </c>
      <c r="L52" s="81"/>
      <c r="M52" s="81">
        <f>'Call CA'!N77</f>
        <v>0</v>
      </c>
    </row>
    <row r="53" spans="1:13" ht="12.75">
      <c r="A53" s="82" t="s">
        <v>38</v>
      </c>
      <c r="B53" s="83">
        <f t="shared" si="2"/>
        <v>7191850.000000001</v>
      </c>
      <c r="C53" s="83">
        <f>C52</f>
        <v>4605862.226823705</v>
      </c>
      <c r="D53" s="83">
        <f>C53-$J$10</f>
        <v>4102432.731858</v>
      </c>
      <c r="E53" s="122">
        <f>'Call CA'!F78</f>
        <v>7191849.361012971</v>
      </c>
      <c r="F53" s="84"/>
      <c r="G53" s="81">
        <f>'Call CA'!H78</f>
        <v>0</v>
      </c>
      <c r="H53" s="122">
        <f>'Call CA'!I78</f>
        <v>6800711.437088093</v>
      </c>
      <c r="I53" s="81"/>
      <c r="J53" s="81">
        <f>'Call CA'!K78</f>
        <v>0</v>
      </c>
      <c r="K53" s="84">
        <f>'Call CA'!L78</f>
        <v>6435649.033913992</v>
      </c>
      <c r="L53" s="81"/>
      <c r="M53" s="81">
        <f>'Call CA'!N78</f>
        <v>0</v>
      </c>
    </row>
    <row r="54" spans="1:13" ht="12.75">
      <c r="A54" s="82" t="s">
        <v>39</v>
      </c>
      <c r="B54" s="83">
        <f t="shared" si="2"/>
        <v>7191850.000000001</v>
      </c>
      <c r="C54" s="83">
        <f>B46</f>
        <v>5859952.320098141</v>
      </c>
      <c r="D54" s="83">
        <f>C54-$J$9</f>
        <v>5421734.824480316</v>
      </c>
      <c r="E54" s="122">
        <f>'Call CA'!F79</f>
        <v>7191849.361012971</v>
      </c>
      <c r="F54" s="84"/>
      <c r="G54" s="81">
        <f>'Call CA'!H79</f>
        <v>0</v>
      </c>
      <c r="H54" s="122">
        <f>'Call CA'!I79</f>
        <v>6897192.215069819</v>
      </c>
      <c r="I54" s="81"/>
      <c r="J54" s="81">
        <f>'Call CA'!K79</f>
        <v>0</v>
      </c>
      <c r="K54" s="84">
        <f>'Call CA'!L79</f>
        <v>6639910.140451882</v>
      </c>
      <c r="L54" s="81"/>
      <c r="M54" s="81">
        <f>'Call CA'!N79</f>
        <v>0</v>
      </c>
    </row>
    <row r="55" spans="1:13" ht="12.75">
      <c r="A55" s="82" t="s">
        <v>40</v>
      </c>
      <c r="B55" s="83">
        <f t="shared" si="2"/>
        <v>7191850.000000001</v>
      </c>
      <c r="C55" s="83">
        <f>C54</f>
        <v>5859952.320098141</v>
      </c>
      <c r="D55" s="83">
        <f>C55-$J$9</f>
        <v>5421734.824480316</v>
      </c>
      <c r="E55" s="122">
        <f>'Call CA'!F80</f>
        <v>7191849.361012971</v>
      </c>
      <c r="F55" s="84"/>
      <c r="G55" s="81">
        <f>'Call CA'!H80</f>
        <v>0</v>
      </c>
      <c r="H55" s="122">
        <f>'Call CA'!I80</f>
        <v>6961512.733724304</v>
      </c>
      <c r="I55" s="81"/>
      <c r="J55" s="81">
        <f>'Call CA'!K80</f>
        <v>0</v>
      </c>
      <c r="K55" s="84">
        <f>'Call CA'!L80</f>
        <v>6800711.437088093</v>
      </c>
      <c r="L55" s="81"/>
      <c r="M55" s="81">
        <f>'Call CA'!N80</f>
        <v>0</v>
      </c>
    </row>
    <row r="56" spans="1:13" ht="12.75">
      <c r="A56" s="82" t="s">
        <v>41</v>
      </c>
      <c r="B56" s="83">
        <f t="shared" si="2"/>
        <v>7191850.000000001</v>
      </c>
      <c r="C56" s="83">
        <f>C55</f>
        <v>5859952.320098141</v>
      </c>
      <c r="D56" s="83">
        <f>C56-$J$10</f>
        <v>5356522.825132436</v>
      </c>
      <c r="E56" s="122">
        <f>'Call CA'!F81</f>
        <v>7191849.361012971</v>
      </c>
      <c r="F56" s="84"/>
      <c r="G56" s="81">
        <f>'Call CA'!H81</f>
        <v>0</v>
      </c>
      <c r="H56" s="122">
        <f>'Call CA'!I81</f>
        <v>7191849.7262032</v>
      </c>
      <c r="I56" s="81"/>
      <c r="J56" s="81">
        <f>'Call CA'!K81</f>
        <v>0</v>
      </c>
      <c r="K56" s="84">
        <f>'Call CA'!L81</f>
        <v>6897192.215069819</v>
      </c>
      <c r="L56" s="81"/>
      <c r="M56" s="81">
        <f>'Call CA'!N81</f>
        <v>0</v>
      </c>
    </row>
    <row r="57" spans="1:13" ht="12.75">
      <c r="A57" s="82" t="s">
        <v>42</v>
      </c>
      <c r="B57" s="83">
        <f t="shared" si="2"/>
        <v>7191850.000000001</v>
      </c>
      <c r="C57" s="83">
        <f>C56</f>
        <v>5859952.320098141</v>
      </c>
      <c r="D57" s="83">
        <f>C57-$J$10</f>
        <v>5356522.825132436</v>
      </c>
      <c r="E57" s="122">
        <f>'Call CA'!F82</f>
        <v>7191849.361012971</v>
      </c>
      <c r="F57" s="84"/>
      <c r="G57" s="81">
        <f>'Call CA'!H82</f>
        <v>0</v>
      </c>
      <c r="H57" s="122">
        <f>'Call CA'!I82</f>
        <v>7191849.7262032</v>
      </c>
      <c r="I57" s="81"/>
      <c r="J57" s="81">
        <f>'Call CA'!K82</f>
        <v>0</v>
      </c>
      <c r="K57" s="84">
        <f>'Call CA'!L82</f>
        <v>6961512.733724304</v>
      </c>
      <c r="L57" s="81"/>
      <c r="M57" s="81">
        <f>'Call CA'!N82</f>
        <v>0</v>
      </c>
    </row>
    <row r="58" spans="1:13" ht="12.75">
      <c r="A58" s="82" t="s">
        <v>43</v>
      </c>
      <c r="B58" s="83">
        <f t="shared" si="2"/>
        <v>7191850.000000001</v>
      </c>
      <c r="C58" s="83">
        <f>B47</f>
        <v>7191850.000000001</v>
      </c>
      <c r="D58" s="83">
        <f>C58</f>
        <v>7191850.000000001</v>
      </c>
      <c r="E58" s="122">
        <f>'Call CA'!F83</f>
        <v>7191849.361012971</v>
      </c>
      <c r="F58" s="84"/>
      <c r="G58" s="81">
        <f>'Call CA'!H83</f>
        <v>0</v>
      </c>
      <c r="H58" s="122">
        <f>'Call CA'!I83</f>
        <v>7191849.7262032</v>
      </c>
      <c r="I58" s="81"/>
      <c r="J58" s="81">
        <f>'Call CA'!K83</f>
        <v>0</v>
      </c>
      <c r="K58" s="84">
        <f>'Call CA'!L83</f>
        <v>7191849.7262032</v>
      </c>
      <c r="L58" s="81"/>
      <c r="M58" s="81">
        <f>'Call CA'!N83</f>
        <v>0</v>
      </c>
    </row>
  </sheetData>
  <mergeCells count="2">
    <mergeCell ref="A7:C7"/>
    <mergeCell ref="A2:O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4"/>
  <sheetViews>
    <sheetView zoomScaleSheetLayoutView="100" workbookViewId="0" topLeftCell="A7">
      <selection activeCell="H17" sqref="H1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1.7109375" style="0" hidden="1" customWidth="1"/>
    <col min="6" max="6" width="11.7109375" style="0" customWidth="1"/>
    <col min="7" max="7" width="14.140625" style="0" customWidth="1"/>
    <col min="8" max="8" width="16.8515625" style="0" customWidth="1"/>
    <col min="9" max="9" width="13.140625" style="0" customWidth="1"/>
    <col min="10" max="10" width="12.57421875" style="0" customWidth="1"/>
    <col min="11" max="11" width="13.57421875" style="0" customWidth="1"/>
    <col min="12" max="12" width="12.7109375" style="0" customWidth="1"/>
    <col min="13" max="13" width="12.28125" style="0" customWidth="1"/>
    <col min="14" max="14" width="14.7109375" style="0" customWidth="1"/>
  </cols>
  <sheetData>
    <row r="1" spans="1:14" ht="22.5" customHeight="1">
      <c r="A1" s="151" t="s">
        <v>110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2.5" customHeight="1">
      <c r="A2" s="154" t="s">
        <v>63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4" spans="1:3" ht="12.75">
      <c r="A4" t="s">
        <v>140</v>
      </c>
      <c r="B4" s="14"/>
      <c r="C4" s="6">
        <f>'IM 1.2'!B5</f>
        <v>7191850</v>
      </c>
    </row>
    <row r="6" ht="12.75">
      <c r="A6" t="s">
        <v>57</v>
      </c>
    </row>
    <row r="7" spans="1:14" ht="45" customHeight="1">
      <c r="A7" s="4" t="s">
        <v>4</v>
      </c>
      <c r="B7" s="4" t="s">
        <v>5</v>
      </c>
      <c r="C7" s="4" t="s">
        <v>6</v>
      </c>
      <c r="D7" s="4" t="s">
        <v>7</v>
      </c>
      <c r="E7" s="12" t="s">
        <v>137</v>
      </c>
      <c r="F7" s="12" t="s">
        <v>137</v>
      </c>
      <c r="G7" s="12" t="s">
        <v>139</v>
      </c>
      <c r="H7" s="12" t="s">
        <v>138</v>
      </c>
      <c r="I7" s="12" t="s">
        <v>141</v>
      </c>
      <c r="J7" s="12" t="s">
        <v>142</v>
      </c>
      <c r="K7" s="12" t="s">
        <v>147</v>
      </c>
      <c r="L7" s="12" t="s">
        <v>145</v>
      </c>
      <c r="M7" s="12" t="s">
        <v>146</v>
      </c>
      <c r="N7" s="12" t="s">
        <v>144</v>
      </c>
    </row>
    <row r="8" spans="1:14" ht="12.75">
      <c r="A8" s="5" t="s">
        <v>8</v>
      </c>
      <c r="B8" s="6"/>
      <c r="C8" s="6"/>
      <c r="D8" s="6"/>
      <c r="E8" s="6"/>
      <c r="F8" s="6"/>
      <c r="G8" s="6"/>
      <c r="H8" s="45">
        <v>0</v>
      </c>
      <c r="I8" s="45"/>
      <c r="J8" s="45"/>
      <c r="K8" s="45">
        <v>0</v>
      </c>
      <c r="L8" s="45"/>
      <c r="M8" s="45"/>
      <c r="N8" s="45">
        <v>0</v>
      </c>
    </row>
    <row r="9" spans="1:14" ht="12.75">
      <c r="A9" s="5" t="s">
        <v>9</v>
      </c>
      <c r="B9" s="6"/>
      <c r="C9" s="6"/>
      <c r="D9" s="6"/>
      <c r="E9" s="6"/>
      <c r="F9" s="6"/>
      <c r="G9" s="6"/>
      <c r="H9" s="45">
        <v>0</v>
      </c>
      <c r="I9" s="45"/>
      <c r="J9" s="45"/>
      <c r="K9" s="45">
        <v>0</v>
      </c>
      <c r="L9" s="45"/>
      <c r="M9" s="45"/>
      <c r="N9" s="45">
        <v>0</v>
      </c>
    </row>
    <row r="10" spans="1:14" ht="12.75">
      <c r="A10" s="5" t="s">
        <v>10</v>
      </c>
      <c r="B10" s="6"/>
      <c r="C10" s="6"/>
      <c r="D10" s="6"/>
      <c r="E10" s="6"/>
      <c r="F10" s="6"/>
      <c r="G10" s="6"/>
      <c r="H10" s="45">
        <v>0</v>
      </c>
      <c r="I10" s="45"/>
      <c r="J10" s="45"/>
      <c r="K10" s="45">
        <v>0</v>
      </c>
      <c r="L10" s="45"/>
      <c r="M10" s="45"/>
      <c r="N10" s="45">
        <v>0</v>
      </c>
    </row>
    <row r="11" spans="1:14" ht="12.75">
      <c r="A11" s="5" t="s">
        <v>11</v>
      </c>
      <c r="B11" s="6"/>
      <c r="C11" s="6"/>
      <c r="D11" s="6"/>
      <c r="E11" s="6"/>
      <c r="F11" s="6"/>
      <c r="G11" s="6"/>
      <c r="H11" s="26">
        <v>0</v>
      </c>
      <c r="I11" s="26"/>
      <c r="J11" s="26"/>
      <c r="K11" s="45">
        <v>0</v>
      </c>
      <c r="L11" s="45"/>
      <c r="M11" s="45"/>
      <c r="N11" s="45">
        <v>0</v>
      </c>
    </row>
    <row r="12" spans="1:14" ht="12.75">
      <c r="A12" s="5" t="s">
        <v>12</v>
      </c>
      <c r="B12" s="6"/>
      <c r="C12" s="6"/>
      <c r="D12" s="6"/>
      <c r="E12" s="6"/>
      <c r="F12" s="6"/>
      <c r="G12" s="6"/>
      <c r="H12" s="26">
        <v>0</v>
      </c>
      <c r="I12" s="26"/>
      <c r="J12" s="26"/>
      <c r="K12" s="45">
        <v>0</v>
      </c>
      <c r="L12" s="45"/>
      <c r="M12" s="45"/>
      <c r="N12" s="45">
        <v>0</v>
      </c>
    </row>
    <row r="13" spans="1:14" ht="12.75">
      <c r="A13" s="5" t="s">
        <v>13</v>
      </c>
      <c r="B13" s="6"/>
      <c r="C13" s="6"/>
      <c r="D13" s="6"/>
      <c r="E13" s="6" t="e">
        <f aca="true" t="shared" si="0" ref="E13:E35">F13/G13</f>
        <v>#DIV/0!</v>
      </c>
      <c r="F13" s="26">
        <f>(2799203)*0.85/1.95583</f>
        <v>1216528.3025620836</v>
      </c>
      <c r="G13" s="66"/>
      <c r="I13" s="26"/>
      <c r="J13" s="26"/>
      <c r="K13" s="45">
        <v>0</v>
      </c>
      <c r="L13" s="45"/>
      <c r="M13" s="45"/>
      <c r="N13" s="45">
        <v>0</v>
      </c>
    </row>
    <row r="14" spans="1:14" ht="12.75">
      <c r="A14" s="5" t="s">
        <v>14</v>
      </c>
      <c r="B14" s="6"/>
      <c r="C14" s="6"/>
      <c r="D14" s="6"/>
      <c r="E14" s="6" t="e">
        <f t="shared" si="0"/>
        <v>#DIV/0!</v>
      </c>
      <c r="F14" s="26">
        <f>(320000+1550000+55000)*0.85/1.95583</f>
        <v>836601.3406073125</v>
      </c>
      <c r="G14" s="66"/>
      <c r="I14" s="26"/>
      <c r="J14" s="74"/>
      <c r="L14" s="45"/>
      <c r="M14" s="87"/>
      <c r="N14" s="45">
        <v>0</v>
      </c>
    </row>
    <row r="15" spans="1:14" ht="12.75">
      <c r="A15" s="5" t="s">
        <v>15</v>
      </c>
      <c r="B15" s="6"/>
      <c r="C15" s="6"/>
      <c r="D15" s="6"/>
      <c r="E15" s="6" t="e">
        <f t="shared" si="0"/>
        <v>#DIV/0!</v>
      </c>
      <c r="F15" s="26">
        <v>0</v>
      </c>
      <c r="G15" s="66"/>
      <c r="I15" s="45">
        <f>2140000*0.3*0.85/1.95583</f>
        <v>279011.97956877644</v>
      </c>
      <c r="J15" s="74"/>
      <c r="L15" s="45"/>
      <c r="M15" s="87"/>
      <c r="N15" s="45">
        <v>0</v>
      </c>
    </row>
    <row r="16" spans="1:14" ht="12.75">
      <c r="A16" s="5" t="s">
        <v>16</v>
      </c>
      <c r="B16" s="6"/>
      <c r="C16" s="6"/>
      <c r="D16" s="6"/>
      <c r="E16" s="6" t="e">
        <f t="shared" si="0"/>
        <v>#DIV/0!</v>
      </c>
      <c r="F16" s="26">
        <f>(580+800+450+390)*1000*0.85/1.95583</f>
        <v>964807.7798172643</v>
      </c>
      <c r="G16" s="66"/>
      <c r="I16" s="45">
        <f>2140000*0.3*0.85/1.95583</f>
        <v>279011.97956877644</v>
      </c>
      <c r="J16" s="74"/>
      <c r="L16" s="45"/>
      <c r="M16" s="87"/>
      <c r="N16" s="45">
        <v>0</v>
      </c>
    </row>
    <row r="17" spans="1:13" ht="12.75">
      <c r="A17" s="5" t="s">
        <v>17</v>
      </c>
      <c r="B17" s="6"/>
      <c r="C17" s="6"/>
      <c r="D17" s="6"/>
      <c r="E17" s="6" t="e">
        <f t="shared" si="0"/>
        <v>#DIV/0!</v>
      </c>
      <c r="F17" s="26">
        <v>0</v>
      </c>
      <c r="G17" s="66"/>
      <c r="I17" s="45">
        <f>2140000*0.4*0.85/1.95583</f>
        <v>372015.9727583686</v>
      </c>
      <c r="J17" s="74"/>
      <c r="L17" s="45">
        <f aca="true" t="shared" si="1" ref="L17:L43">I15</f>
        <v>279011.97956877644</v>
      </c>
      <c r="M17" s="87"/>
    </row>
    <row r="18" spans="1:13" ht="12.75">
      <c r="A18" s="5" t="s">
        <v>18</v>
      </c>
      <c r="B18" s="6"/>
      <c r="C18" s="6"/>
      <c r="D18" s="6"/>
      <c r="E18" s="6" t="e">
        <f t="shared" si="0"/>
        <v>#DIV/0!</v>
      </c>
      <c r="F18" s="26">
        <v>0</v>
      </c>
      <c r="G18" s="66"/>
      <c r="I18" s="45">
        <f>3435000*0.2*0.85/1.95583</f>
        <v>298568.89402453176</v>
      </c>
      <c r="J18" s="74"/>
      <c r="L18" s="45">
        <f t="shared" si="1"/>
        <v>279011.97956877644</v>
      </c>
      <c r="M18" s="87"/>
    </row>
    <row r="19" spans="1:13" ht="12.75">
      <c r="A19" s="5" t="s">
        <v>19</v>
      </c>
      <c r="B19" s="6"/>
      <c r="C19" s="6"/>
      <c r="D19" s="6"/>
      <c r="E19" s="6" t="e">
        <f t="shared" si="0"/>
        <v>#DIV/0!</v>
      </c>
      <c r="F19" s="26">
        <v>0</v>
      </c>
      <c r="G19" s="66"/>
      <c r="I19" s="45">
        <f>3435000*0.25*0.85/1.95583</f>
        <v>373211.1175306647</v>
      </c>
      <c r="J19" s="74"/>
      <c r="L19" s="45">
        <f t="shared" si="1"/>
        <v>372015.9727583686</v>
      </c>
      <c r="M19" s="87"/>
    </row>
    <row r="20" spans="1:13" ht="12.75">
      <c r="A20" s="5" t="s">
        <v>20</v>
      </c>
      <c r="B20" s="6"/>
      <c r="C20" s="6"/>
      <c r="D20" s="6"/>
      <c r="E20" s="6" t="e">
        <f t="shared" si="0"/>
        <v>#DIV/0!</v>
      </c>
      <c r="F20" s="26">
        <f>(1850+820+450)*1000*0.85/1.95583</f>
        <v>1355946.0689323714</v>
      </c>
      <c r="G20" s="66"/>
      <c r="I20" s="45">
        <f>3435000*0.3*0.85/1.95583</f>
        <v>447853.3410367977</v>
      </c>
      <c r="J20" s="74"/>
      <c r="L20" s="45">
        <f t="shared" si="1"/>
        <v>298568.89402453176</v>
      </c>
      <c r="M20" s="87"/>
    </row>
    <row r="21" spans="1:13" ht="12.75">
      <c r="A21" s="5" t="s">
        <v>21</v>
      </c>
      <c r="B21" s="6"/>
      <c r="C21" s="6"/>
      <c r="D21" s="6"/>
      <c r="E21" s="6" t="e">
        <f t="shared" si="0"/>
        <v>#DIV/0!</v>
      </c>
      <c r="F21" s="26">
        <v>0</v>
      </c>
      <c r="G21" s="66"/>
      <c r="I21" s="45">
        <f>3435000*0.25*0.85/1.95583</f>
        <v>373211.1175306647</v>
      </c>
      <c r="J21" s="74"/>
      <c r="L21" s="45">
        <f t="shared" si="1"/>
        <v>373211.1175306647</v>
      </c>
      <c r="M21" s="87"/>
    </row>
    <row r="22" spans="1:13" ht="12.75">
      <c r="A22" s="5" t="s">
        <v>22</v>
      </c>
      <c r="B22" s="6"/>
      <c r="C22" s="6"/>
      <c r="D22" s="6"/>
      <c r="E22" s="6" t="e">
        <f t="shared" si="0"/>
        <v>#DIV/0!</v>
      </c>
      <c r="F22" s="26">
        <v>0</v>
      </c>
      <c r="G22" s="66"/>
      <c r="I22" s="46">
        <f>3427135*0.2*0.85/1.95583</f>
        <v>297885.27121477836</v>
      </c>
      <c r="J22" s="74"/>
      <c r="L22" s="45">
        <f t="shared" si="1"/>
        <v>447853.3410367977</v>
      </c>
      <c r="M22" s="87"/>
    </row>
    <row r="23" spans="1:13" ht="12.75">
      <c r="A23" s="5" t="s">
        <v>23</v>
      </c>
      <c r="B23" s="6"/>
      <c r="C23" s="6"/>
      <c r="D23" s="6"/>
      <c r="E23" s="6" t="e">
        <f t="shared" si="0"/>
        <v>#DIV/0!</v>
      </c>
      <c r="F23" s="26">
        <v>0</v>
      </c>
      <c r="G23" s="66"/>
      <c r="I23" s="46">
        <f>3427135*0.3*0.85/1.95583</f>
        <v>446827.90682216757</v>
      </c>
      <c r="J23" s="74"/>
      <c r="L23" s="45">
        <f t="shared" si="1"/>
        <v>373211.1175306647</v>
      </c>
      <c r="M23" s="87"/>
    </row>
    <row r="24" spans="1:13" ht="12.75">
      <c r="A24" s="5" t="s">
        <v>24</v>
      </c>
      <c r="B24" s="6"/>
      <c r="E24" s="6" t="e">
        <f t="shared" si="0"/>
        <v>#DIV/0!</v>
      </c>
      <c r="F24" s="6">
        <f>(760+440)*0.85/1.95583*1000</f>
        <v>521517.7188201428</v>
      </c>
      <c r="G24" s="66"/>
      <c r="I24" s="46">
        <f>3427135*0.3*0.85/1.95583</f>
        <v>446827.90682216757</v>
      </c>
      <c r="J24" s="74"/>
      <c r="L24" s="45">
        <f t="shared" si="1"/>
        <v>297885.27121477836</v>
      </c>
      <c r="M24" s="87"/>
    </row>
    <row r="25" spans="1:13" ht="12.75">
      <c r="A25" s="5" t="s">
        <v>25</v>
      </c>
      <c r="B25" s="6"/>
      <c r="D25" s="6"/>
      <c r="E25" s="6" t="e">
        <f t="shared" si="0"/>
        <v>#DIV/0!</v>
      </c>
      <c r="F25" s="6">
        <v>0</v>
      </c>
      <c r="G25" s="66"/>
      <c r="I25" s="46">
        <f>3427135*0.2*0.85/1.95583</f>
        <v>297885.27121477836</v>
      </c>
      <c r="J25" s="74"/>
      <c r="L25" s="45">
        <f t="shared" si="1"/>
        <v>446827.90682216757</v>
      </c>
      <c r="M25" s="87"/>
    </row>
    <row r="26" spans="1:13" ht="12.75">
      <c r="A26" s="5" t="s">
        <v>26</v>
      </c>
      <c r="B26" s="6"/>
      <c r="E26" s="6" t="e">
        <f t="shared" si="0"/>
        <v>#DIV/0!</v>
      </c>
      <c r="F26" s="6">
        <v>0</v>
      </c>
      <c r="G26" s="66"/>
      <c r="I26" s="6">
        <f>2200000*0.3*0.85/1.95583</f>
        <v>286834.74535107857</v>
      </c>
      <c r="J26" s="74"/>
      <c r="L26" s="45">
        <f t="shared" si="1"/>
        <v>446827.90682216757</v>
      </c>
      <c r="M26" s="87"/>
    </row>
    <row r="27" spans="1:13" ht="12.75">
      <c r="A27" s="5" t="s">
        <v>27</v>
      </c>
      <c r="B27" s="6"/>
      <c r="E27" s="6" t="e">
        <f t="shared" si="0"/>
        <v>#DIV/0!</v>
      </c>
      <c r="F27" s="6">
        <v>0</v>
      </c>
      <c r="G27" s="66"/>
      <c r="I27" s="6">
        <f>2200000*0.25*0.85/1.95583</f>
        <v>239028.95445923213</v>
      </c>
      <c r="J27" s="74"/>
      <c r="L27" s="45">
        <f t="shared" si="1"/>
        <v>297885.27121477836</v>
      </c>
      <c r="M27" s="87"/>
    </row>
    <row r="28" spans="1:13" ht="12.75">
      <c r="A28" s="5" t="s">
        <v>28</v>
      </c>
      <c r="B28" s="6"/>
      <c r="E28" s="6" t="e">
        <f t="shared" si="0"/>
        <v>#DIV/0!</v>
      </c>
      <c r="F28" s="6">
        <f>(1900000+776142+440000)*0.85/1.95583</f>
        <v>1354269.3894663646</v>
      </c>
      <c r="G28" s="66"/>
      <c r="I28" s="6">
        <f>2200000*0.25*0.85/1.95583</f>
        <v>239028.95445923213</v>
      </c>
      <c r="J28" s="74"/>
      <c r="L28" s="45">
        <f t="shared" si="1"/>
        <v>286834.74535107857</v>
      </c>
      <c r="M28" s="87"/>
    </row>
    <row r="29" spans="1:13" ht="12.75">
      <c r="A29" s="5" t="s">
        <v>29</v>
      </c>
      <c r="B29" s="6"/>
      <c r="E29" s="6" t="e">
        <f t="shared" si="0"/>
        <v>#DIV/0!</v>
      </c>
      <c r="F29" s="6">
        <v>0</v>
      </c>
      <c r="G29" s="66"/>
      <c r="I29" s="6">
        <f>2200000*0.2*0.85/1.95583</f>
        <v>191223.16356738572</v>
      </c>
      <c r="J29" s="74"/>
      <c r="L29" s="45">
        <f t="shared" si="1"/>
        <v>239028.95445923213</v>
      </c>
      <c r="M29" s="87"/>
    </row>
    <row r="30" spans="1:13" ht="12.75">
      <c r="A30" s="5" t="s">
        <v>30</v>
      </c>
      <c r="B30" s="6"/>
      <c r="D30" s="6"/>
      <c r="E30" s="6" t="e">
        <f t="shared" si="0"/>
        <v>#DIV/0!</v>
      </c>
      <c r="F30" s="6">
        <v>0</v>
      </c>
      <c r="G30" s="66"/>
      <c r="I30" s="6">
        <f>2196142*0.3*0.85/1.95583</f>
        <v>286331.7415112765</v>
      </c>
      <c r="J30" s="74"/>
      <c r="L30" s="45">
        <f t="shared" si="1"/>
        <v>239028.95445923213</v>
      </c>
      <c r="M30" s="87"/>
    </row>
    <row r="31" spans="1:13" ht="12.75">
      <c r="A31" s="5" t="s">
        <v>31</v>
      </c>
      <c r="B31" s="6"/>
      <c r="E31" s="6" t="e">
        <f t="shared" si="0"/>
        <v>#DIV/0!</v>
      </c>
      <c r="F31" s="6">
        <v>0</v>
      </c>
      <c r="G31" s="66"/>
      <c r="I31" s="6">
        <f>2196142*0.3*0.85/1.95583</f>
        <v>286331.7415112765</v>
      </c>
      <c r="J31" s="74"/>
      <c r="L31" s="45">
        <f t="shared" si="1"/>
        <v>191223.16356738572</v>
      </c>
      <c r="M31" s="87"/>
    </row>
    <row r="32" spans="1:13" ht="12.75">
      <c r="A32" s="5" t="s">
        <v>32</v>
      </c>
      <c r="B32" s="6"/>
      <c r="E32" s="6" t="e">
        <f t="shared" si="0"/>
        <v>#DIV/0!</v>
      </c>
      <c r="F32" s="6">
        <f>2230000*0.85/1.95583-26975</f>
        <v>942178.7608074321</v>
      </c>
      <c r="G32" s="66"/>
      <c r="I32" s="6">
        <f>2196142*0.2*0.85/1.95583</f>
        <v>190887.82767418437</v>
      </c>
      <c r="J32" s="74"/>
      <c r="L32" s="45">
        <f t="shared" si="1"/>
        <v>286331.7415112765</v>
      </c>
      <c r="M32" s="87"/>
    </row>
    <row r="33" spans="1:13" ht="12.75">
      <c r="A33" s="5" t="s">
        <v>33</v>
      </c>
      <c r="B33" s="6"/>
      <c r="E33" s="6" t="e">
        <f t="shared" si="0"/>
        <v>#DIV/0!</v>
      </c>
      <c r="F33" s="6">
        <v>0</v>
      </c>
      <c r="G33" s="66"/>
      <c r="I33" s="6">
        <f>2196142*0.2*0.85/1.95583</f>
        <v>190887.82767418437</v>
      </c>
      <c r="J33" s="74"/>
      <c r="L33" s="45">
        <f t="shared" si="1"/>
        <v>286331.7415112765</v>
      </c>
      <c r="M33" s="87"/>
    </row>
    <row r="34" spans="1:13" ht="12.75">
      <c r="A34" s="5" t="s">
        <v>34</v>
      </c>
      <c r="B34" s="6"/>
      <c r="D34" s="6"/>
      <c r="E34" s="6" t="e">
        <f t="shared" si="0"/>
        <v>#DIV/0!</v>
      </c>
      <c r="F34" s="6">
        <v>0</v>
      </c>
      <c r="G34" s="66"/>
      <c r="I34" s="6">
        <f>1880000*0.25*0.85/1.95583</f>
        <v>204261.10653788928</v>
      </c>
      <c r="J34" s="74"/>
      <c r="L34" s="45">
        <f t="shared" si="1"/>
        <v>190887.82767418437</v>
      </c>
      <c r="M34" s="87"/>
    </row>
    <row r="35" spans="1:13" ht="12.75">
      <c r="A35" s="5" t="s">
        <v>35</v>
      </c>
      <c r="B35" s="6"/>
      <c r="E35" s="6" t="e">
        <f t="shared" si="0"/>
        <v>#DIV/0!</v>
      </c>
      <c r="F35" s="6">
        <v>0</v>
      </c>
      <c r="G35" s="66"/>
      <c r="I35" s="6">
        <f>1880000*0.25*0.85/1.95583</f>
        <v>204261.10653788928</v>
      </c>
      <c r="J35" s="74"/>
      <c r="L35" s="45">
        <f t="shared" si="1"/>
        <v>190887.82767418437</v>
      </c>
      <c r="M35" s="87"/>
    </row>
    <row r="36" spans="1:13" ht="12.75">
      <c r="A36" s="5" t="s">
        <v>36</v>
      </c>
      <c r="B36" s="6"/>
      <c r="H36" s="6"/>
      <c r="I36" s="6">
        <f>1880000*0.25*0.85/1.95583</f>
        <v>204261.10653788928</v>
      </c>
      <c r="J36" s="74"/>
      <c r="L36" s="45">
        <f t="shared" si="1"/>
        <v>204261.10653788928</v>
      </c>
      <c r="M36" s="87"/>
    </row>
    <row r="37" spans="1:13" ht="12.75">
      <c r="A37" s="5" t="s">
        <v>37</v>
      </c>
      <c r="B37" s="6"/>
      <c r="D37" s="6"/>
      <c r="E37" s="6"/>
      <c r="F37" s="6"/>
      <c r="G37" s="6"/>
      <c r="H37" s="6"/>
      <c r="I37" s="6">
        <f>1880000*0.25*0.85/1.95583</f>
        <v>204261.10653788928</v>
      </c>
      <c r="J37" s="74"/>
      <c r="L37" s="45">
        <f t="shared" si="1"/>
        <v>204261.10653788928</v>
      </c>
      <c r="M37" s="87"/>
    </row>
    <row r="38" spans="1:13" ht="12.75">
      <c r="A38" s="5" t="s">
        <v>38</v>
      </c>
      <c r="B38" s="6"/>
      <c r="H38" s="6"/>
      <c r="I38" s="6">
        <f>740000*0.5*0.85/1.95583</f>
        <v>160801.29663621073</v>
      </c>
      <c r="J38" s="74"/>
      <c r="L38" s="45">
        <f t="shared" si="1"/>
        <v>204261.10653788928</v>
      </c>
      <c r="M38" s="87"/>
    </row>
    <row r="39" spans="1:13" ht="12.75">
      <c r="A39" s="5" t="s">
        <v>39</v>
      </c>
      <c r="B39" s="6"/>
      <c r="H39" s="6"/>
      <c r="I39" s="6">
        <f>740000*0.3*0.85/1.95583</f>
        <v>96480.77798172642</v>
      </c>
      <c r="J39" s="74"/>
      <c r="L39" s="45">
        <f t="shared" si="1"/>
        <v>204261.10653788928</v>
      </c>
      <c r="M39" s="87"/>
    </row>
    <row r="40" spans="1:13" ht="12.75">
      <c r="A40" s="5" t="s">
        <v>40</v>
      </c>
      <c r="I40" s="6">
        <f>740000*0.2*0.85/1.95583</f>
        <v>64320.51865448429</v>
      </c>
      <c r="J40" s="74"/>
      <c r="L40" s="45">
        <f t="shared" si="1"/>
        <v>160801.29663621073</v>
      </c>
      <c r="M40" s="87"/>
    </row>
    <row r="41" spans="1:13" ht="12.75">
      <c r="A41" s="5" t="s">
        <v>41</v>
      </c>
      <c r="D41" s="6"/>
      <c r="E41" s="6"/>
      <c r="F41" s="6"/>
      <c r="G41" s="6"/>
      <c r="I41" s="6">
        <f>(530000)*0.85/1.95583</f>
        <v>230336.99247889643</v>
      </c>
      <c r="J41" s="74"/>
      <c r="L41" s="45">
        <f t="shared" si="1"/>
        <v>96480.77798172642</v>
      </c>
      <c r="M41" s="87"/>
    </row>
    <row r="42" spans="1:13" ht="12.75">
      <c r="A42" s="5" t="s">
        <v>42</v>
      </c>
      <c r="D42" s="6"/>
      <c r="E42" s="6"/>
      <c r="F42" s="6"/>
      <c r="G42" s="6"/>
      <c r="I42" s="26"/>
      <c r="J42" s="74"/>
      <c r="K42" s="6"/>
      <c r="L42" s="45">
        <f t="shared" si="1"/>
        <v>64320.51865448429</v>
      </c>
      <c r="M42" s="87"/>
    </row>
    <row r="43" spans="1:13" ht="12.75">
      <c r="A43" s="5" t="s">
        <v>43</v>
      </c>
      <c r="C43" s="6"/>
      <c r="I43" s="26"/>
      <c r="J43" s="74"/>
      <c r="L43" s="45">
        <f t="shared" si="1"/>
        <v>230336.99247889643</v>
      </c>
      <c r="M43" s="87"/>
    </row>
    <row r="44" spans="11:14" ht="12.75">
      <c r="K44" s="6"/>
      <c r="L44" s="45"/>
      <c r="M44" s="87"/>
      <c r="N44" s="45"/>
    </row>
    <row r="45" spans="11:13" ht="12.75">
      <c r="K45" s="6"/>
      <c r="L45" s="6"/>
      <c r="M45" s="6"/>
    </row>
    <row r="46" ht="12.75">
      <c r="A46" t="s">
        <v>58</v>
      </c>
    </row>
    <row r="47" spans="1:14" ht="38.25">
      <c r="A47" s="4" t="s">
        <v>4</v>
      </c>
      <c r="B47" s="4" t="s">
        <v>5</v>
      </c>
      <c r="C47" s="4" t="s">
        <v>6</v>
      </c>
      <c r="D47" s="4" t="s">
        <v>7</v>
      </c>
      <c r="E47" s="12" t="s">
        <v>137</v>
      </c>
      <c r="F47" s="12" t="s">
        <v>137</v>
      </c>
      <c r="G47" s="12" t="s">
        <v>139</v>
      </c>
      <c r="H47" s="12" t="s">
        <v>138</v>
      </c>
      <c r="I47" s="12" t="s">
        <v>141</v>
      </c>
      <c r="J47" s="12" t="s">
        <v>142</v>
      </c>
      <c r="K47" s="12" t="s">
        <v>147</v>
      </c>
      <c r="L47" s="12" t="s">
        <v>145</v>
      </c>
      <c r="M47" s="12" t="s">
        <v>146</v>
      </c>
      <c r="N47" s="12" t="s">
        <v>144</v>
      </c>
    </row>
    <row r="48" spans="1:14" ht="12.75">
      <c r="A48" s="5" t="s">
        <v>8</v>
      </c>
      <c r="C48" s="6"/>
      <c r="D48" s="6"/>
      <c r="E48" s="6"/>
      <c r="F48" s="6"/>
      <c r="G48" s="6"/>
      <c r="H48" s="6">
        <f>H8</f>
        <v>0</v>
      </c>
      <c r="I48" s="6"/>
      <c r="J48" s="6"/>
      <c r="K48" s="6">
        <f>K8</f>
        <v>0</v>
      </c>
      <c r="L48" s="6"/>
      <c r="M48" s="6"/>
      <c r="N48" s="6">
        <f>N8</f>
        <v>0</v>
      </c>
    </row>
    <row r="49" spans="1:14" ht="12.75">
      <c r="A49" s="5" t="s">
        <v>9</v>
      </c>
      <c r="C49" s="6"/>
      <c r="D49" s="6"/>
      <c r="E49" s="6"/>
      <c r="F49" s="6"/>
      <c r="G49" s="6"/>
      <c r="H49" s="6">
        <f aca="true" t="shared" si="2" ref="H49:I52">H48+H9</f>
        <v>0</v>
      </c>
      <c r="I49" s="6">
        <f t="shared" si="2"/>
        <v>0</v>
      </c>
      <c r="J49" s="6"/>
      <c r="K49" s="6">
        <f>K48+K9</f>
        <v>0</v>
      </c>
      <c r="L49" s="6">
        <f>L9+L48</f>
        <v>0</v>
      </c>
      <c r="M49" s="6"/>
      <c r="N49" s="6">
        <f>N48+N9</f>
        <v>0</v>
      </c>
    </row>
    <row r="50" spans="1:14" ht="12.75">
      <c r="A50" s="5" t="s">
        <v>10</v>
      </c>
      <c r="C50" s="6"/>
      <c r="D50" s="6"/>
      <c r="E50" s="6"/>
      <c r="F50" s="6"/>
      <c r="G50" s="6"/>
      <c r="H50" s="6">
        <f t="shared" si="2"/>
        <v>0</v>
      </c>
      <c r="I50" s="6">
        <f t="shared" si="2"/>
        <v>0</v>
      </c>
      <c r="J50" s="6"/>
      <c r="K50" s="6">
        <f>K49+K10</f>
        <v>0</v>
      </c>
      <c r="L50" s="6">
        <f>L10+L49</f>
        <v>0</v>
      </c>
      <c r="M50" s="6"/>
      <c r="N50" s="6">
        <f>N49+N10</f>
        <v>0</v>
      </c>
    </row>
    <row r="51" spans="1:14" ht="12.75">
      <c r="A51" s="5" t="s">
        <v>11</v>
      </c>
      <c r="B51" s="6"/>
      <c r="C51" s="6"/>
      <c r="D51" s="6"/>
      <c r="E51" s="6"/>
      <c r="F51" s="6"/>
      <c r="G51" s="6"/>
      <c r="H51" s="6">
        <f t="shared" si="2"/>
        <v>0</v>
      </c>
      <c r="I51" s="6">
        <f t="shared" si="2"/>
        <v>0</v>
      </c>
      <c r="J51" s="6"/>
      <c r="K51" s="6">
        <f>K50+K11</f>
        <v>0</v>
      </c>
      <c r="L51" s="6">
        <f>L11+L50</f>
        <v>0</v>
      </c>
      <c r="M51" s="6"/>
      <c r="N51" s="6">
        <f>N50+N11</f>
        <v>0</v>
      </c>
    </row>
    <row r="52" spans="1:14" ht="12.75">
      <c r="A52" s="5" t="s">
        <v>12</v>
      </c>
      <c r="B52" s="6"/>
      <c r="C52" s="6"/>
      <c r="D52" s="6"/>
      <c r="E52" s="6"/>
      <c r="F52" s="6"/>
      <c r="G52" s="6"/>
      <c r="H52" s="6">
        <f t="shared" si="2"/>
        <v>0</v>
      </c>
      <c r="I52" s="6">
        <f t="shared" si="2"/>
        <v>0</v>
      </c>
      <c r="J52" s="6"/>
      <c r="K52" s="6">
        <f>K51+K12</f>
        <v>0</v>
      </c>
      <c r="L52" s="6">
        <f>L12+L51</f>
        <v>0</v>
      </c>
      <c r="M52" s="6"/>
      <c r="N52" s="6">
        <f>N51+N12</f>
        <v>0</v>
      </c>
    </row>
    <row r="53" spans="1:14" ht="12.75">
      <c r="A53" s="5" t="s">
        <v>13</v>
      </c>
      <c r="B53" s="6"/>
      <c r="C53" s="6"/>
      <c r="D53" s="6"/>
      <c r="E53" s="6" t="e">
        <f aca="true" t="shared" si="3" ref="E53:E83">E52+E13</f>
        <v>#DIV/0!</v>
      </c>
      <c r="F53" s="6">
        <f>F52+F13</f>
        <v>1216528.3025620836</v>
      </c>
      <c r="G53" s="6"/>
      <c r="H53" s="6"/>
      <c r="I53" s="6">
        <f>I52+I14</f>
        <v>0</v>
      </c>
      <c r="J53" s="6"/>
      <c r="K53" s="6">
        <f>K52+K14</f>
        <v>0</v>
      </c>
      <c r="L53" s="6">
        <f>L14+L52</f>
        <v>0</v>
      </c>
      <c r="M53" s="6"/>
      <c r="N53" s="6">
        <f>N52+N14</f>
        <v>0</v>
      </c>
    </row>
    <row r="54" spans="1:14" ht="12.75">
      <c r="A54" s="5" t="s">
        <v>14</v>
      </c>
      <c r="B54" s="6"/>
      <c r="C54" s="6"/>
      <c r="D54" s="6"/>
      <c r="E54" s="6" t="e">
        <f t="shared" si="3"/>
        <v>#DIV/0!</v>
      </c>
      <c r="F54" s="6">
        <f aca="true" t="shared" si="4" ref="F54:F83">F53+F14</f>
        <v>2053129.643169396</v>
      </c>
      <c r="G54" s="6"/>
      <c r="H54" s="6"/>
      <c r="I54" s="6">
        <f aca="true" t="shared" si="5" ref="I54:I75">I53+I14</f>
        <v>0</v>
      </c>
      <c r="J54" s="6"/>
      <c r="K54" s="6"/>
      <c r="L54" s="6">
        <f>L15+L53</f>
        <v>0</v>
      </c>
      <c r="M54" s="6"/>
      <c r="N54" s="6">
        <f>N53+N15</f>
        <v>0</v>
      </c>
    </row>
    <row r="55" spans="1:14" ht="12.75">
      <c r="A55" s="5" t="s">
        <v>15</v>
      </c>
      <c r="B55" s="6"/>
      <c r="C55" s="6"/>
      <c r="D55" s="6"/>
      <c r="E55" s="6" t="e">
        <f t="shared" si="3"/>
        <v>#DIV/0!</v>
      </c>
      <c r="F55" s="6">
        <f t="shared" si="4"/>
        <v>2053129.643169396</v>
      </c>
      <c r="G55" s="6"/>
      <c r="H55" s="6"/>
      <c r="I55" s="6">
        <f t="shared" si="5"/>
        <v>279011.97956877644</v>
      </c>
      <c r="J55" s="6"/>
      <c r="K55" s="6"/>
      <c r="L55" s="6">
        <f>L54+L16</f>
        <v>0</v>
      </c>
      <c r="M55" s="6"/>
      <c r="N55" s="6">
        <f>N54+N16</f>
        <v>0</v>
      </c>
    </row>
    <row r="56" spans="1:14" ht="12.75">
      <c r="A56" s="5" t="s">
        <v>16</v>
      </c>
      <c r="B56" s="6"/>
      <c r="C56" s="6"/>
      <c r="D56" s="6"/>
      <c r="E56" s="6" t="e">
        <f t="shared" si="3"/>
        <v>#DIV/0!</v>
      </c>
      <c r="F56" s="6">
        <f t="shared" si="4"/>
        <v>3017937.42298666</v>
      </c>
      <c r="G56" s="6"/>
      <c r="H56" s="6"/>
      <c r="I56" s="6">
        <f t="shared" si="5"/>
        <v>558023.9591375529</v>
      </c>
      <c r="J56" s="6">
        <f>J55+J16</f>
        <v>0</v>
      </c>
      <c r="K56" s="6">
        <f>K55+K16</f>
        <v>0</v>
      </c>
      <c r="L56" s="6">
        <f aca="true" t="shared" si="6" ref="L56:L83">L55+L16</f>
        <v>0</v>
      </c>
      <c r="M56" s="6"/>
      <c r="N56" s="6"/>
    </row>
    <row r="57" spans="1:14" ht="12.75">
      <c r="A57" s="5" t="s">
        <v>17</v>
      </c>
      <c r="B57" s="6"/>
      <c r="C57" s="6"/>
      <c r="D57" s="6"/>
      <c r="E57" s="6" t="e">
        <f t="shared" si="3"/>
        <v>#DIV/0!</v>
      </c>
      <c r="F57" s="6">
        <f t="shared" si="4"/>
        <v>3017937.42298666</v>
      </c>
      <c r="G57" s="6"/>
      <c r="H57" s="6"/>
      <c r="I57" s="6">
        <f t="shared" si="5"/>
        <v>930039.9318959215</v>
      </c>
      <c r="J57" s="6"/>
      <c r="K57" s="6"/>
      <c r="L57" s="6">
        <f t="shared" si="6"/>
        <v>279011.97956877644</v>
      </c>
      <c r="M57" s="6"/>
      <c r="N57" s="6"/>
    </row>
    <row r="58" spans="1:14" ht="12.75">
      <c r="A58" s="5" t="s">
        <v>18</v>
      </c>
      <c r="B58" s="6"/>
      <c r="C58" s="6"/>
      <c r="D58" s="6"/>
      <c r="E58" s="6" t="e">
        <f t="shared" si="3"/>
        <v>#DIV/0!</v>
      </c>
      <c r="F58" s="6">
        <f t="shared" si="4"/>
        <v>3017937.42298666</v>
      </c>
      <c r="G58" s="6"/>
      <c r="H58" s="6"/>
      <c r="I58" s="6">
        <f t="shared" si="5"/>
        <v>1228608.8259204533</v>
      </c>
      <c r="J58" s="6"/>
      <c r="K58" s="6"/>
      <c r="L58" s="6">
        <f t="shared" si="6"/>
        <v>558023.9591375529</v>
      </c>
      <c r="M58" s="6"/>
      <c r="N58" s="6"/>
    </row>
    <row r="59" spans="1:14" ht="12.75">
      <c r="A59" s="5" t="s">
        <v>19</v>
      </c>
      <c r="B59" s="6"/>
      <c r="C59" s="6"/>
      <c r="D59" s="6"/>
      <c r="E59" s="6" t="e">
        <f t="shared" si="3"/>
        <v>#DIV/0!</v>
      </c>
      <c r="F59" s="6">
        <f t="shared" si="4"/>
        <v>3017937.42298666</v>
      </c>
      <c r="G59" s="6"/>
      <c r="H59" s="6"/>
      <c r="I59" s="6">
        <f t="shared" si="5"/>
        <v>1601819.943451118</v>
      </c>
      <c r="J59" s="6"/>
      <c r="K59" s="6"/>
      <c r="L59" s="6">
        <f t="shared" si="6"/>
        <v>930039.9318959215</v>
      </c>
      <c r="M59" s="6"/>
      <c r="N59" s="6"/>
    </row>
    <row r="60" spans="1:14" ht="12.75">
      <c r="A60" s="5" t="s">
        <v>20</v>
      </c>
      <c r="B60" s="6"/>
      <c r="C60" s="6"/>
      <c r="D60" s="6"/>
      <c r="E60" s="6" t="e">
        <f t="shared" si="3"/>
        <v>#DIV/0!</v>
      </c>
      <c r="F60" s="6">
        <f t="shared" si="4"/>
        <v>4373883.491919031</v>
      </c>
      <c r="G60" s="6"/>
      <c r="H60" s="6"/>
      <c r="I60" s="6">
        <f t="shared" si="5"/>
        <v>2049673.2844879157</v>
      </c>
      <c r="J60" s="6"/>
      <c r="K60" s="6"/>
      <c r="L60" s="6">
        <f t="shared" si="6"/>
        <v>1228608.8259204533</v>
      </c>
      <c r="M60" s="6"/>
      <c r="N60" s="6"/>
    </row>
    <row r="61" spans="1:14" ht="12.75">
      <c r="A61" s="5" t="s">
        <v>21</v>
      </c>
      <c r="B61" s="6"/>
      <c r="C61" s="6"/>
      <c r="D61" s="6"/>
      <c r="E61" s="6" t="e">
        <f t="shared" si="3"/>
        <v>#DIV/0!</v>
      </c>
      <c r="F61" s="6">
        <f t="shared" si="4"/>
        <v>4373883.491919031</v>
      </c>
      <c r="G61" s="6"/>
      <c r="H61" s="6"/>
      <c r="I61" s="6">
        <f t="shared" si="5"/>
        <v>2422884.4020185806</v>
      </c>
      <c r="J61" s="6"/>
      <c r="K61" s="6"/>
      <c r="L61" s="6">
        <f t="shared" si="6"/>
        <v>1601819.943451118</v>
      </c>
      <c r="M61" s="6"/>
      <c r="N61" s="6"/>
    </row>
    <row r="62" spans="1:14" ht="12.75">
      <c r="A62" s="5" t="s">
        <v>22</v>
      </c>
      <c r="B62" s="6"/>
      <c r="C62" s="6"/>
      <c r="D62" s="6"/>
      <c r="E62" s="6" t="e">
        <f t="shared" si="3"/>
        <v>#DIV/0!</v>
      </c>
      <c r="F62" s="6">
        <f t="shared" si="4"/>
        <v>4373883.491919031</v>
      </c>
      <c r="G62" s="6"/>
      <c r="H62" s="6"/>
      <c r="I62" s="6">
        <f t="shared" si="5"/>
        <v>2720769.673233359</v>
      </c>
      <c r="J62" s="6"/>
      <c r="K62" s="6"/>
      <c r="L62" s="6">
        <f t="shared" si="6"/>
        <v>2049673.2844879157</v>
      </c>
      <c r="M62" s="6"/>
      <c r="N62" s="6"/>
    </row>
    <row r="63" spans="1:14" ht="12.75">
      <c r="A63" s="5" t="s">
        <v>23</v>
      </c>
      <c r="B63" s="6"/>
      <c r="C63" s="6"/>
      <c r="D63" s="6"/>
      <c r="E63" s="6" t="e">
        <f t="shared" si="3"/>
        <v>#DIV/0!</v>
      </c>
      <c r="F63" s="6">
        <f t="shared" si="4"/>
        <v>4373883.491919031</v>
      </c>
      <c r="G63" s="6"/>
      <c r="H63" s="6"/>
      <c r="I63" s="6">
        <f t="shared" si="5"/>
        <v>3167597.5800555265</v>
      </c>
      <c r="J63" s="6"/>
      <c r="K63" s="6"/>
      <c r="L63" s="6">
        <f t="shared" si="6"/>
        <v>2422884.4020185806</v>
      </c>
      <c r="M63" s="6"/>
      <c r="N63" s="6"/>
    </row>
    <row r="64" spans="1:14" ht="12.75">
      <c r="A64" s="5" t="s">
        <v>24</v>
      </c>
      <c r="B64" s="6"/>
      <c r="C64" s="6"/>
      <c r="D64" s="6"/>
      <c r="E64" s="6" t="e">
        <f t="shared" si="3"/>
        <v>#DIV/0!</v>
      </c>
      <c r="F64" s="6">
        <f t="shared" si="4"/>
        <v>4895401.210739174</v>
      </c>
      <c r="G64" s="6"/>
      <c r="H64" s="6"/>
      <c r="I64" s="6">
        <f t="shared" si="5"/>
        <v>3614425.486877694</v>
      </c>
      <c r="J64" s="6"/>
      <c r="K64" s="6"/>
      <c r="L64" s="6">
        <f t="shared" si="6"/>
        <v>2720769.673233359</v>
      </c>
      <c r="M64" s="6"/>
      <c r="N64" s="6"/>
    </row>
    <row r="65" spans="1:14" ht="12.75">
      <c r="A65" s="5" t="s">
        <v>25</v>
      </c>
      <c r="B65" s="6"/>
      <c r="C65" s="6"/>
      <c r="D65" s="6"/>
      <c r="E65" s="6" t="e">
        <f t="shared" si="3"/>
        <v>#DIV/0!</v>
      </c>
      <c r="F65" s="6">
        <f t="shared" si="4"/>
        <v>4895401.210739174</v>
      </c>
      <c r="G65" s="6"/>
      <c r="H65" s="6"/>
      <c r="I65" s="6">
        <f t="shared" si="5"/>
        <v>3912310.7580924723</v>
      </c>
      <c r="J65" s="6"/>
      <c r="K65" s="6"/>
      <c r="L65" s="6">
        <f t="shared" si="6"/>
        <v>3167597.5800555265</v>
      </c>
      <c r="M65" s="6"/>
      <c r="N65" s="6"/>
    </row>
    <row r="66" spans="1:14" ht="12.75">
      <c r="A66" s="5" t="s">
        <v>26</v>
      </c>
      <c r="B66" s="6"/>
      <c r="C66" s="6"/>
      <c r="D66" s="6"/>
      <c r="E66" s="6" t="e">
        <f t="shared" si="3"/>
        <v>#DIV/0!</v>
      </c>
      <c r="F66" s="6">
        <f t="shared" si="4"/>
        <v>4895401.210739174</v>
      </c>
      <c r="G66" s="6"/>
      <c r="H66" s="6"/>
      <c r="I66" s="6">
        <f t="shared" si="5"/>
        <v>4199145.503443551</v>
      </c>
      <c r="J66" s="6"/>
      <c r="K66" s="6"/>
      <c r="L66" s="6">
        <f t="shared" si="6"/>
        <v>3614425.486877694</v>
      </c>
      <c r="M66" s="6"/>
      <c r="N66" s="6"/>
    </row>
    <row r="67" spans="1:14" ht="12.75">
      <c r="A67" s="5" t="s">
        <v>27</v>
      </c>
      <c r="B67" s="6"/>
      <c r="C67" s="6"/>
      <c r="D67" s="6"/>
      <c r="E67" s="6" t="e">
        <f t="shared" si="3"/>
        <v>#DIV/0!</v>
      </c>
      <c r="F67" s="6">
        <f t="shared" si="4"/>
        <v>4895401.210739174</v>
      </c>
      <c r="G67" s="6"/>
      <c r="H67" s="6"/>
      <c r="I67" s="6">
        <f t="shared" si="5"/>
        <v>4438174.4579027835</v>
      </c>
      <c r="J67" s="6"/>
      <c r="K67" s="6"/>
      <c r="L67" s="6">
        <f t="shared" si="6"/>
        <v>3912310.7580924723</v>
      </c>
      <c r="M67" s="6"/>
      <c r="N67" s="6"/>
    </row>
    <row r="68" spans="1:14" ht="12.75">
      <c r="A68" s="5" t="s">
        <v>28</v>
      </c>
      <c r="B68" s="6"/>
      <c r="C68" s="6"/>
      <c r="D68" s="6"/>
      <c r="E68" s="6" t="e">
        <f t="shared" si="3"/>
        <v>#DIV/0!</v>
      </c>
      <c r="F68" s="6">
        <f t="shared" si="4"/>
        <v>6249670.600205539</v>
      </c>
      <c r="G68" s="6"/>
      <c r="H68" s="6"/>
      <c r="I68" s="6">
        <f t="shared" si="5"/>
        <v>4677203.412362016</v>
      </c>
      <c r="J68" s="6"/>
      <c r="K68" s="6"/>
      <c r="L68" s="6">
        <f t="shared" si="6"/>
        <v>4199145.503443551</v>
      </c>
      <c r="M68" s="6"/>
      <c r="N68" s="6"/>
    </row>
    <row r="69" spans="1:14" ht="12.75">
      <c r="A69" s="5" t="s">
        <v>29</v>
      </c>
      <c r="B69" s="6"/>
      <c r="C69" s="6"/>
      <c r="D69" s="6"/>
      <c r="E69" s="6" t="e">
        <f t="shared" si="3"/>
        <v>#DIV/0!</v>
      </c>
      <c r="F69" s="6">
        <f t="shared" si="4"/>
        <v>6249670.600205539</v>
      </c>
      <c r="G69" s="6"/>
      <c r="H69" s="6"/>
      <c r="I69" s="6">
        <f t="shared" si="5"/>
        <v>4868426.575929401</v>
      </c>
      <c r="J69" s="6"/>
      <c r="K69" s="6"/>
      <c r="L69" s="6">
        <f t="shared" si="6"/>
        <v>4438174.4579027835</v>
      </c>
      <c r="M69" s="6"/>
      <c r="N69" s="6"/>
    </row>
    <row r="70" spans="1:14" ht="12.75">
      <c r="A70" s="5" t="s">
        <v>30</v>
      </c>
      <c r="B70" s="6"/>
      <c r="C70" s="6"/>
      <c r="D70" s="6"/>
      <c r="E70" s="6" t="e">
        <f t="shared" si="3"/>
        <v>#DIV/0!</v>
      </c>
      <c r="F70" s="6">
        <f t="shared" si="4"/>
        <v>6249670.600205539</v>
      </c>
      <c r="G70" s="6"/>
      <c r="H70" s="6"/>
      <c r="I70" s="6">
        <f t="shared" si="5"/>
        <v>5154758.317440678</v>
      </c>
      <c r="J70" s="6"/>
      <c r="K70" s="6"/>
      <c r="L70" s="6">
        <f t="shared" si="6"/>
        <v>4677203.412362016</v>
      </c>
      <c r="M70" s="6"/>
      <c r="N70" s="6"/>
    </row>
    <row r="71" spans="1:14" ht="12.75">
      <c r="A71" s="5" t="s">
        <v>31</v>
      </c>
      <c r="E71" s="6" t="e">
        <f t="shared" si="3"/>
        <v>#DIV/0!</v>
      </c>
      <c r="F71" s="6">
        <f t="shared" si="4"/>
        <v>6249670.600205539</v>
      </c>
      <c r="H71" s="6"/>
      <c r="I71" s="6">
        <f t="shared" si="5"/>
        <v>5441090.058951955</v>
      </c>
      <c r="J71" s="6"/>
      <c r="K71" s="6"/>
      <c r="L71" s="6">
        <f t="shared" si="6"/>
        <v>4868426.575929401</v>
      </c>
      <c r="M71" s="6"/>
      <c r="N71" s="6"/>
    </row>
    <row r="72" spans="1:14" ht="12.75">
      <c r="A72" s="5" t="s">
        <v>32</v>
      </c>
      <c r="E72" s="6" t="e">
        <f t="shared" si="3"/>
        <v>#DIV/0!</v>
      </c>
      <c r="F72" s="6">
        <f t="shared" si="4"/>
        <v>7191849.361012971</v>
      </c>
      <c r="H72" s="6"/>
      <c r="I72" s="6">
        <f t="shared" si="5"/>
        <v>5631977.886626139</v>
      </c>
      <c r="J72" s="6"/>
      <c r="K72" s="6"/>
      <c r="L72" s="6">
        <f t="shared" si="6"/>
        <v>5154758.317440678</v>
      </c>
      <c r="M72" s="6"/>
      <c r="N72" s="6"/>
    </row>
    <row r="73" spans="1:14" ht="12.75">
      <c r="A73" s="5" t="s">
        <v>33</v>
      </c>
      <c r="E73" s="6" t="e">
        <f t="shared" si="3"/>
        <v>#DIV/0!</v>
      </c>
      <c r="F73" s="6">
        <f t="shared" si="4"/>
        <v>7191849.361012971</v>
      </c>
      <c r="H73" s="6"/>
      <c r="I73" s="6">
        <f t="shared" si="5"/>
        <v>5822865.714300323</v>
      </c>
      <c r="J73" s="6"/>
      <c r="K73" s="6"/>
      <c r="L73" s="6">
        <f t="shared" si="6"/>
        <v>5441090.058951955</v>
      </c>
      <c r="M73" s="6"/>
      <c r="N73" s="6"/>
    </row>
    <row r="74" spans="1:14" ht="12.75">
      <c r="A74" s="5" t="s">
        <v>34</v>
      </c>
      <c r="E74" s="6" t="e">
        <f t="shared" si="3"/>
        <v>#DIV/0!</v>
      </c>
      <c r="F74" s="6">
        <f t="shared" si="4"/>
        <v>7191849.361012971</v>
      </c>
      <c r="H74" s="6"/>
      <c r="I74" s="6">
        <f t="shared" si="5"/>
        <v>6027126.820838213</v>
      </c>
      <c r="J74" s="6"/>
      <c r="K74" s="6"/>
      <c r="L74" s="6">
        <f t="shared" si="6"/>
        <v>5631977.886626139</v>
      </c>
      <c r="M74" s="6"/>
      <c r="N74" s="6"/>
    </row>
    <row r="75" spans="1:14" ht="12.75">
      <c r="A75" s="5" t="s">
        <v>35</v>
      </c>
      <c r="E75" s="6" t="e">
        <f t="shared" si="3"/>
        <v>#DIV/0!</v>
      </c>
      <c r="F75" s="6">
        <f t="shared" si="4"/>
        <v>7191849.361012971</v>
      </c>
      <c r="H75" s="6"/>
      <c r="I75" s="6">
        <f t="shared" si="5"/>
        <v>6231387.927376103</v>
      </c>
      <c r="J75" s="6"/>
      <c r="K75" s="6"/>
      <c r="L75" s="6">
        <f t="shared" si="6"/>
        <v>5822865.714300323</v>
      </c>
      <c r="M75" s="6"/>
      <c r="N75" s="6"/>
    </row>
    <row r="76" spans="1:14" ht="12.75">
      <c r="A76" s="5" t="s">
        <v>36</v>
      </c>
      <c r="E76" s="6" t="e">
        <f t="shared" si="3"/>
        <v>#DIV/0!</v>
      </c>
      <c r="F76" s="6">
        <f t="shared" si="4"/>
        <v>7191849.361012971</v>
      </c>
      <c r="H76" s="6"/>
      <c r="I76" s="6">
        <f aca="true" t="shared" si="7" ref="I76:I83">I75+I36</f>
        <v>6435649.033913992</v>
      </c>
      <c r="J76" s="6"/>
      <c r="K76" s="6"/>
      <c r="L76" s="6">
        <f t="shared" si="6"/>
        <v>6027126.820838213</v>
      </c>
      <c r="M76" s="6"/>
      <c r="N76" s="6"/>
    </row>
    <row r="77" spans="1:14" ht="12.75">
      <c r="A77" s="5" t="s">
        <v>37</v>
      </c>
      <c r="E77" s="6" t="e">
        <f t="shared" si="3"/>
        <v>#DIV/0!</v>
      </c>
      <c r="F77" s="6">
        <f t="shared" si="4"/>
        <v>7191849.361012971</v>
      </c>
      <c r="H77" s="6"/>
      <c r="I77" s="6">
        <f t="shared" si="7"/>
        <v>6639910.140451882</v>
      </c>
      <c r="J77" s="6"/>
      <c r="K77" s="6"/>
      <c r="L77" s="6">
        <f t="shared" si="6"/>
        <v>6231387.927376103</v>
      </c>
      <c r="M77" s="6"/>
      <c r="N77" s="6"/>
    </row>
    <row r="78" spans="1:14" ht="12.75">
      <c r="A78" s="5" t="s">
        <v>38</v>
      </c>
      <c r="E78" s="6" t="e">
        <f t="shared" si="3"/>
        <v>#DIV/0!</v>
      </c>
      <c r="F78" s="6">
        <f t="shared" si="4"/>
        <v>7191849.361012971</v>
      </c>
      <c r="H78" s="6"/>
      <c r="I78" s="6">
        <f t="shared" si="7"/>
        <v>6800711.437088093</v>
      </c>
      <c r="J78" s="6"/>
      <c r="K78" s="6"/>
      <c r="L78" s="6">
        <f t="shared" si="6"/>
        <v>6435649.033913992</v>
      </c>
      <c r="M78" s="6"/>
      <c r="N78" s="6"/>
    </row>
    <row r="79" spans="1:14" ht="12.75">
      <c r="A79" s="5" t="s">
        <v>39</v>
      </c>
      <c r="E79" s="6" t="e">
        <f t="shared" si="3"/>
        <v>#DIV/0!</v>
      </c>
      <c r="F79" s="6">
        <f t="shared" si="4"/>
        <v>7191849.361012971</v>
      </c>
      <c r="H79" s="6"/>
      <c r="I79" s="6">
        <f t="shared" si="7"/>
        <v>6897192.215069819</v>
      </c>
      <c r="J79" s="6"/>
      <c r="K79" s="6"/>
      <c r="L79" s="6">
        <f t="shared" si="6"/>
        <v>6639910.140451882</v>
      </c>
      <c r="M79" s="6"/>
      <c r="N79" s="6"/>
    </row>
    <row r="80" spans="1:14" ht="12.75">
      <c r="A80" s="5" t="s">
        <v>40</v>
      </c>
      <c r="E80" s="6" t="e">
        <f t="shared" si="3"/>
        <v>#DIV/0!</v>
      </c>
      <c r="F80" s="6">
        <f t="shared" si="4"/>
        <v>7191849.361012971</v>
      </c>
      <c r="H80" s="6"/>
      <c r="I80" s="6">
        <f t="shared" si="7"/>
        <v>6961512.733724304</v>
      </c>
      <c r="J80" s="6"/>
      <c r="K80" s="6"/>
      <c r="L80" s="6">
        <f t="shared" si="6"/>
        <v>6800711.437088093</v>
      </c>
      <c r="M80" s="6"/>
      <c r="N80" s="6"/>
    </row>
    <row r="81" spans="1:14" ht="12.75">
      <c r="A81" s="5" t="s">
        <v>41</v>
      </c>
      <c r="E81" s="6" t="e">
        <f t="shared" si="3"/>
        <v>#DIV/0!</v>
      </c>
      <c r="F81" s="6">
        <f t="shared" si="4"/>
        <v>7191849.361012971</v>
      </c>
      <c r="H81" s="6"/>
      <c r="I81" s="6">
        <f t="shared" si="7"/>
        <v>7191849.7262032</v>
      </c>
      <c r="J81" s="6"/>
      <c r="K81" s="6"/>
      <c r="L81" s="6">
        <f t="shared" si="6"/>
        <v>6897192.215069819</v>
      </c>
      <c r="M81" s="6"/>
      <c r="N81" s="6"/>
    </row>
    <row r="82" spans="1:14" ht="12.75">
      <c r="A82" s="5" t="s">
        <v>42</v>
      </c>
      <c r="E82" s="6" t="e">
        <f t="shared" si="3"/>
        <v>#DIV/0!</v>
      </c>
      <c r="F82" s="6">
        <f t="shared" si="4"/>
        <v>7191849.361012971</v>
      </c>
      <c r="H82" s="6"/>
      <c r="I82" s="6">
        <f t="shared" si="7"/>
        <v>7191849.7262032</v>
      </c>
      <c r="J82" s="6"/>
      <c r="K82" s="6"/>
      <c r="L82" s="6">
        <f t="shared" si="6"/>
        <v>6961512.733724304</v>
      </c>
      <c r="M82" s="6"/>
      <c r="N82" s="6"/>
    </row>
    <row r="83" spans="1:14" ht="12.75">
      <c r="A83" s="5" t="s">
        <v>43</v>
      </c>
      <c r="E83" s="6" t="e">
        <f t="shared" si="3"/>
        <v>#DIV/0!</v>
      </c>
      <c r="F83" s="6">
        <f t="shared" si="4"/>
        <v>7191849.361012971</v>
      </c>
      <c r="H83" s="6"/>
      <c r="I83" s="6">
        <f t="shared" si="7"/>
        <v>7191849.7262032</v>
      </c>
      <c r="J83" s="6"/>
      <c r="K83" s="6"/>
      <c r="L83" s="6">
        <f t="shared" si="6"/>
        <v>7191849.7262032</v>
      </c>
      <c r="M83" s="6"/>
      <c r="N83" s="6"/>
    </row>
    <row r="84" spans="7:14" ht="12.75">
      <c r="G84" s="6"/>
      <c r="N84" s="6"/>
    </row>
  </sheetData>
  <mergeCells count="2">
    <mergeCell ref="A1:N1"/>
    <mergeCell ref="A2:N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58"/>
  <sheetViews>
    <sheetView view="pageBreakPreview" zoomScaleNormal="85" zoomScaleSheetLayoutView="100" workbookViewId="0" topLeftCell="C16">
      <selection activeCell="H17" sqref="H17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1.57421875" style="0" customWidth="1"/>
    <col min="5" max="6" width="12.7109375" style="0" customWidth="1"/>
    <col min="7" max="7" width="11.421875" style="0" bestFit="1" customWidth="1"/>
    <col min="8" max="8" width="11.421875" style="0" customWidth="1"/>
    <col min="9" max="9" width="13.00390625" style="0" customWidth="1"/>
    <col min="10" max="10" width="14.00390625" style="0" customWidth="1"/>
    <col min="11" max="12" width="13.57421875" style="0" customWidth="1"/>
    <col min="13" max="13" width="11.57421875" style="0" customWidth="1"/>
    <col min="14" max="14" width="15.140625" style="0" customWidth="1"/>
    <col min="15" max="15" width="13.421875" style="0" bestFit="1" customWidth="1"/>
  </cols>
  <sheetData>
    <row r="2" spans="1:15" ht="50.25" customHeight="1">
      <c r="A2" s="139" t="s">
        <v>120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ht="15.75">
      <c r="A3" s="25"/>
    </row>
    <row r="4" spans="1:12" ht="15.75">
      <c r="A4" s="25" t="s">
        <v>117</v>
      </c>
      <c r="G4" s="25" t="s">
        <v>114</v>
      </c>
      <c r="K4" s="25"/>
      <c r="L4" s="25"/>
    </row>
    <row r="5" spans="1:12" ht="15.75">
      <c r="A5" t="s">
        <v>125</v>
      </c>
      <c r="B5" s="26">
        <f>H11</f>
        <v>7090700</v>
      </c>
      <c r="J5" s="25"/>
      <c r="K5" s="25"/>
      <c r="L5" s="25"/>
    </row>
    <row r="6" spans="1:2" ht="12.75">
      <c r="A6" t="s">
        <v>157</v>
      </c>
      <c r="B6" s="26">
        <f>'Priority Axis 1'!B6</f>
        <v>1750000.0000000002</v>
      </c>
    </row>
    <row r="7" spans="1:12" ht="12.75">
      <c r="A7" s="141" t="s">
        <v>0</v>
      </c>
      <c r="B7" s="142"/>
      <c r="C7" s="143"/>
      <c r="D7" s="71"/>
      <c r="E7" s="70"/>
      <c r="F7" s="70"/>
      <c r="G7" s="31" t="s">
        <v>55</v>
      </c>
      <c r="H7" s="42"/>
      <c r="I7" s="42"/>
      <c r="J7" s="32"/>
      <c r="K7" s="16"/>
      <c r="L7" s="16"/>
    </row>
    <row r="8" spans="1:12" ht="82.5" customHeight="1">
      <c r="A8" s="1" t="s">
        <v>1</v>
      </c>
      <c r="B8" s="20" t="s">
        <v>127</v>
      </c>
      <c r="C8" s="13" t="s">
        <v>128</v>
      </c>
      <c r="D8" s="72" t="s">
        <v>134</v>
      </c>
      <c r="E8" s="16"/>
      <c r="F8" s="16"/>
      <c r="G8" s="33"/>
      <c r="H8" s="34" t="s">
        <v>56</v>
      </c>
      <c r="I8" s="35" t="s">
        <v>149</v>
      </c>
      <c r="J8" s="36" t="s">
        <v>45</v>
      </c>
      <c r="K8" s="12"/>
      <c r="L8" s="126"/>
    </row>
    <row r="9" spans="1:12" ht="15.75">
      <c r="A9" s="21"/>
      <c r="B9" s="22"/>
      <c r="C9" s="27"/>
      <c r="D9" s="30"/>
      <c r="G9" s="51" t="s">
        <v>104</v>
      </c>
      <c r="H9" s="52">
        <f>7365000*0.85</f>
        <v>6260250</v>
      </c>
      <c r="I9" s="53">
        <f>H9/$H$14</f>
        <v>0.25040999749590004</v>
      </c>
      <c r="J9" s="54">
        <f>I9*$B$6</f>
        <v>438217.49561782513</v>
      </c>
      <c r="K9" s="127"/>
      <c r="L9" s="126"/>
    </row>
    <row r="10" spans="1:12" ht="12.75">
      <c r="A10" s="2">
        <v>2007</v>
      </c>
      <c r="B10" s="23">
        <v>3512400</v>
      </c>
      <c r="C10" s="28">
        <f aca="true" t="shared" si="0" ref="C10:C16">B10/$B$17</f>
        <v>0.07272574730188078</v>
      </c>
      <c r="D10" s="9">
        <f aca="true" t="shared" si="1" ref="D10:D16">C10*$B$5</f>
        <v>515676.456393446</v>
      </c>
      <c r="G10" s="51" t="s">
        <v>105</v>
      </c>
      <c r="H10" s="38">
        <f>8461000*0.85</f>
        <v>7191850</v>
      </c>
      <c r="I10" s="39">
        <f>H10/$H$14</f>
        <v>0.28767399712326003</v>
      </c>
      <c r="J10" s="43">
        <f>I10*$B$6</f>
        <v>503429.4949657051</v>
      </c>
      <c r="K10" s="112"/>
      <c r="L10" s="126"/>
    </row>
    <row r="11" spans="1:12" ht="12.75">
      <c r="A11" s="2">
        <v>2008</v>
      </c>
      <c r="B11" s="23">
        <v>5141700</v>
      </c>
      <c r="C11" s="28">
        <f t="shared" si="0"/>
        <v>0.10646110206755506</v>
      </c>
      <c r="D11" s="9">
        <f t="shared" si="1"/>
        <v>754883.7364304126</v>
      </c>
      <c r="G11" s="47" t="s">
        <v>106</v>
      </c>
      <c r="H11" s="55">
        <f>8342000*0.85</f>
        <v>7090700</v>
      </c>
      <c r="I11" s="56">
        <f>H11/$H$14</f>
        <v>0.28362799716372</v>
      </c>
      <c r="J11" s="50">
        <f>I11*$B$6</f>
        <v>496348.99503651005</v>
      </c>
      <c r="K11" s="121"/>
      <c r="L11" s="126"/>
    </row>
    <row r="12" spans="1:12" ht="12.75">
      <c r="A12" s="2">
        <v>2009</v>
      </c>
      <c r="B12" s="23">
        <v>7001019</v>
      </c>
      <c r="C12" s="28">
        <f t="shared" si="0"/>
        <v>0.1449590988069884</v>
      </c>
      <c r="D12" s="9">
        <f t="shared" si="1"/>
        <v>1027861.4819107127</v>
      </c>
      <c r="G12" s="37" t="s">
        <v>107</v>
      </c>
      <c r="H12" s="38">
        <f>0.85*3169000</f>
        <v>2693650</v>
      </c>
      <c r="I12" s="39">
        <f>H12/$H$14</f>
        <v>0.10774599892254001</v>
      </c>
      <c r="J12" s="43">
        <f>I12*$B$6</f>
        <v>188555.49811444504</v>
      </c>
      <c r="K12" s="112"/>
      <c r="L12" s="126"/>
    </row>
    <row r="13" spans="1:12" ht="12.75">
      <c r="A13" s="2">
        <v>2010</v>
      </c>
      <c r="B13" s="23">
        <v>7377256</v>
      </c>
      <c r="C13" s="28">
        <f t="shared" si="0"/>
        <v>0.1527492471350882</v>
      </c>
      <c r="D13" s="9">
        <f t="shared" si="1"/>
        <v>1083099.0866607698</v>
      </c>
      <c r="G13" s="37" t="s">
        <v>108</v>
      </c>
      <c r="H13" s="38">
        <f>0.85*2074765</f>
        <v>1763550.25</v>
      </c>
      <c r="I13" s="39">
        <f>H13/$H$14</f>
        <v>0.0705420092945799</v>
      </c>
      <c r="J13" s="43">
        <f>I13*$B$6</f>
        <v>123448.51626551485</v>
      </c>
      <c r="K13" s="112"/>
      <c r="L13" s="126"/>
    </row>
    <row r="14" spans="1:12" ht="12.75">
      <c r="A14" s="2">
        <v>2011</v>
      </c>
      <c r="B14" s="23">
        <v>7898065</v>
      </c>
      <c r="C14" s="28">
        <f t="shared" si="0"/>
        <v>0.16353282068210598</v>
      </c>
      <c r="D14" s="9">
        <f t="shared" si="1"/>
        <v>1159562.171610609</v>
      </c>
      <c r="G14" s="33" t="s">
        <v>46</v>
      </c>
      <c r="H14" s="40">
        <f>SUM(H9:H13)</f>
        <v>25000000.25</v>
      </c>
      <c r="I14" s="41"/>
      <c r="J14" s="44">
        <f>SUM(J9:J13)</f>
        <v>1750000</v>
      </c>
      <c r="K14" s="112"/>
      <c r="L14" s="126"/>
    </row>
    <row r="15" spans="1:12" ht="12.75">
      <c r="A15" s="2">
        <v>2012</v>
      </c>
      <c r="B15" s="23">
        <v>8421780</v>
      </c>
      <c r="C15" s="28">
        <f t="shared" si="0"/>
        <v>0.17437656420454206</v>
      </c>
      <c r="D15" s="9">
        <f t="shared" si="1"/>
        <v>1236451.9038051465</v>
      </c>
      <c r="K15" s="126"/>
      <c r="L15" s="126"/>
    </row>
    <row r="16" spans="1:4" ht="12.75">
      <c r="A16" s="2">
        <v>2013</v>
      </c>
      <c r="B16" s="23">
        <v>8944293</v>
      </c>
      <c r="C16" s="28">
        <f t="shared" si="0"/>
        <v>0.1851954198018395</v>
      </c>
      <c r="D16" s="9">
        <f t="shared" si="1"/>
        <v>1313165.1631889034</v>
      </c>
    </row>
    <row r="17" spans="1:4" ht="12.75">
      <c r="A17" s="3" t="s">
        <v>3</v>
      </c>
      <c r="B17" s="24">
        <f>SUM(B10:B16)</f>
        <v>48296513</v>
      </c>
      <c r="C17" s="29"/>
      <c r="D17" s="10">
        <f>SUM(D10:D16)</f>
        <v>7090700.000000001</v>
      </c>
    </row>
    <row r="20" ht="15.75">
      <c r="A20" s="25" t="s">
        <v>150</v>
      </c>
    </row>
    <row r="21" spans="1:13" ht="51">
      <c r="A21" s="77" t="s">
        <v>4</v>
      </c>
      <c r="B21" s="78" t="s">
        <v>5</v>
      </c>
      <c r="C21" s="78" t="s">
        <v>6</v>
      </c>
      <c r="D21" s="78" t="s">
        <v>7</v>
      </c>
      <c r="E21" s="119" t="s">
        <v>182</v>
      </c>
      <c r="F21" s="119" t="s">
        <v>139</v>
      </c>
      <c r="G21" s="119" t="s">
        <v>138</v>
      </c>
      <c r="H21" s="119" t="s">
        <v>141</v>
      </c>
      <c r="I21" s="119" t="s">
        <v>142</v>
      </c>
      <c r="J21" s="119" t="s">
        <v>147</v>
      </c>
      <c r="K21" s="119" t="s">
        <v>145</v>
      </c>
      <c r="L21" s="119" t="s">
        <v>146</v>
      </c>
      <c r="M21" s="119" t="s">
        <v>144</v>
      </c>
    </row>
    <row r="22" spans="1:13" ht="12.75">
      <c r="A22" s="71"/>
      <c r="B22" s="79"/>
      <c r="C22" s="79"/>
      <c r="D22" s="79"/>
      <c r="E22" s="80"/>
      <c r="F22" s="80"/>
      <c r="G22" s="81"/>
      <c r="H22" s="81"/>
      <c r="I22" s="81"/>
      <c r="J22" s="81"/>
      <c r="K22" s="81"/>
      <c r="L22" s="81"/>
      <c r="M22" s="81"/>
    </row>
    <row r="23" spans="1:13" ht="12.75">
      <c r="A23" s="82" t="s">
        <v>8</v>
      </c>
      <c r="B23" s="83">
        <v>0</v>
      </c>
      <c r="C23" s="83">
        <v>0</v>
      </c>
      <c r="D23" s="83">
        <v>0</v>
      </c>
      <c r="E23" s="80"/>
      <c r="F23" s="80"/>
      <c r="G23" s="81">
        <f>'[1]Call AA'!E51</f>
        <v>0</v>
      </c>
      <c r="H23" s="81"/>
      <c r="I23" s="81"/>
      <c r="J23" s="81">
        <f>'[1]Call AA'!F51</f>
        <v>0</v>
      </c>
      <c r="K23" s="81"/>
      <c r="L23" s="81"/>
      <c r="M23" s="81">
        <f>'[1]Call AA'!G51</f>
        <v>0</v>
      </c>
    </row>
    <row r="24" spans="1:13" ht="12.75">
      <c r="A24" s="82" t="s">
        <v>9</v>
      </c>
      <c r="B24" s="83">
        <v>0</v>
      </c>
      <c r="C24" s="83">
        <v>0</v>
      </c>
      <c r="D24" s="83">
        <v>0</v>
      </c>
      <c r="E24" s="80"/>
      <c r="F24" s="80"/>
      <c r="G24" s="81">
        <f>'[1]Call AA'!E52</f>
        <v>0</v>
      </c>
      <c r="H24" s="81"/>
      <c r="I24" s="81"/>
      <c r="J24" s="81">
        <f>'[1]Call AA'!F52</f>
        <v>0</v>
      </c>
      <c r="K24" s="81"/>
      <c r="L24" s="81"/>
      <c r="M24" s="81">
        <f>'[1]Call AA'!G52</f>
        <v>0</v>
      </c>
    </row>
    <row r="25" spans="1:13" ht="12.75">
      <c r="A25" s="82" t="s">
        <v>10</v>
      </c>
      <c r="B25" s="83">
        <v>0</v>
      </c>
      <c r="C25" s="83">
        <v>0</v>
      </c>
      <c r="D25" s="83">
        <v>0</v>
      </c>
      <c r="E25" s="80"/>
      <c r="F25" s="80"/>
      <c r="G25" s="81">
        <f>'[1]Call AA'!E53</f>
        <v>0</v>
      </c>
      <c r="H25" s="81"/>
      <c r="I25" s="81"/>
      <c r="J25" s="81">
        <f>'[1]Call AA'!F53</f>
        <v>0</v>
      </c>
      <c r="K25" s="81"/>
      <c r="L25" s="81"/>
      <c r="M25" s="81">
        <f>'[1]Call AA'!G53</f>
        <v>0</v>
      </c>
    </row>
    <row r="26" spans="1:13" ht="12.75">
      <c r="A26" s="82" t="s">
        <v>11</v>
      </c>
      <c r="B26" s="83">
        <f>D10</f>
        <v>515676.456393446</v>
      </c>
      <c r="C26" s="83">
        <v>0</v>
      </c>
      <c r="D26" s="83">
        <v>0</v>
      </c>
      <c r="E26" s="80"/>
      <c r="F26" s="80"/>
      <c r="G26" s="81">
        <f>'[1]Call AA'!E54</f>
        <v>0</v>
      </c>
      <c r="H26" s="81"/>
      <c r="I26" s="81"/>
      <c r="J26" s="81">
        <f>'[1]Call AA'!F54</f>
        <v>0</v>
      </c>
      <c r="K26" s="81"/>
      <c r="L26" s="81"/>
      <c r="M26" s="81">
        <f>'[1]Call AA'!G54</f>
        <v>0</v>
      </c>
    </row>
    <row r="27" spans="1:13" ht="12.75">
      <c r="A27" s="82" t="s">
        <v>12</v>
      </c>
      <c r="B27" s="83">
        <f>B26+D11</f>
        <v>1270560.1928238587</v>
      </c>
      <c r="C27" s="83">
        <v>0</v>
      </c>
      <c r="D27" s="83">
        <v>0</v>
      </c>
      <c r="E27" s="84">
        <f>'Call AA'!E55</f>
        <v>595215.5606571123</v>
      </c>
      <c r="F27" s="84"/>
      <c r="G27" s="81">
        <f>'Call AA'!G55</f>
        <v>0</v>
      </c>
      <c r="H27" s="81"/>
      <c r="I27" s="81"/>
      <c r="J27" s="81">
        <f>'Call AA'!J55</f>
        <v>0</v>
      </c>
      <c r="K27" s="81"/>
      <c r="L27" s="81"/>
      <c r="M27" s="81">
        <f>'Call AA'!M55</f>
        <v>0</v>
      </c>
    </row>
    <row r="28" spans="1:13" ht="12.75">
      <c r="A28" s="82" t="s">
        <v>13</v>
      </c>
      <c r="B28" s="83">
        <f>B27</f>
        <v>1270560.1928238587</v>
      </c>
      <c r="C28" s="83">
        <v>0</v>
      </c>
      <c r="D28" s="83">
        <v>0</v>
      </c>
      <c r="E28" s="84">
        <f>'Call AA'!E56</f>
        <v>2477568.5606571124</v>
      </c>
      <c r="F28" s="84"/>
      <c r="G28" s="81">
        <f>'Call AA'!G56</f>
        <v>0</v>
      </c>
      <c r="H28" s="81">
        <f>'Call AA'!H56</f>
        <v>0</v>
      </c>
      <c r="I28" s="81"/>
      <c r="J28" s="81">
        <f>'Call AA'!J56</f>
        <v>0</v>
      </c>
      <c r="K28" s="81"/>
      <c r="L28" s="81"/>
      <c r="M28" s="81">
        <f>'Call AA'!M56</f>
        <v>0</v>
      </c>
    </row>
    <row r="29" spans="1:13" ht="12.75">
      <c r="A29" s="82" t="s">
        <v>14</v>
      </c>
      <c r="B29" s="83">
        <f>B28</f>
        <v>1270560.1928238587</v>
      </c>
      <c r="C29" s="83">
        <v>0</v>
      </c>
      <c r="D29" s="83">
        <v>0</v>
      </c>
      <c r="E29" s="84">
        <f>'Call AA'!E57</f>
        <v>2477568.5606571124</v>
      </c>
      <c r="F29" s="84"/>
      <c r="G29" s="81">
        <f>'Call AA'!G57</f>
        <v>0</v>
      </c>
      <c r="H29" s="81">
        <f>'Call AA'!H57</f>
        <v>36679.99681971337</v>
      </c>
      <c r="I29" s="81"/>
      <c r="J29" s="81">
        <f>'Call AA'!J57</f>
        <v>0</v>
      </c>
      <c r="K29" s="81">
        <f>'Call AA'!K57</f>
        <v>0</v>
      </c>
      <c r="L29" s="81"/>
      <c r="M29" s="81">
        <f>'Call AA'!M57</f>
        <v>0</v>
      </c>
    </row>
    <row r="30" spans="1:13" ht="12.75">
      <c r="A30" s="82" t="s">
        <v>15</v>
      </c>
      <c r="B30" s="83">
        <f>B29</f>
        <v>1270560.1928238587</v>
      </c>
      <c r="C30" s="83">
        <v>0</v>
      </c>
      <c r="D30" s="83">
        <v>0</v>
      </c>
      <c r="E30" s="84">
        <f>'Call AA'!E58</f>
        <v>3116427.7662117872</v>
      </c>
      <c r="F30" s="84"/>
      <c r="G30" s="81">
        <f>'Call AA'!G58</f>
        <v>0</v>
      </c>
      <c r="H30" s="81">
        <f>'Call AA'!H58</f>
        <v>366799.9681971337</v>
      </c>
      <c r="I30" s="81"/>
      <c r="J30" s="81">
        <f>'Call AA'!J58</f>
        <v>0</v>
      </c>
      <c r="K30" s="81">
        <f>'Call AA'!K58</f>
        <v>0</v>
      </c>
      <c r="L30" s="81"/>
      <c r="M30" s="81">
        <f>'Call AA'!M58</f>
        <v>0</v>
      </c>
    </row>
    <row r="31" spans="1:13" ht="12.75">
      <c r="A31" s="82" t="s">
        <v>16</v>
      </c>
      <c r="B31" s="83">
        <f>B30+D12</f>
        <v>2298421.6747345715</v>
      </c>
      <c r="C31" s="83">
        <v>0</v>
      </c>
      <c r="D31" s="83">
        <v>0</v>
      </c>
      <c r="E31" s="84">
        <f>'Call AA'!E59</f>
        <v>3116427.7662117872</v>
      </c>
      <c r="F31" s="84"/>
      <c r="G31" s="81">
        <f>'Call AA'!G59</f>
        <v>0</v>
      </c>
      <c r="H31" s="81">
        <f>'Call AA'!H59</f>
        <v>1045242.7130154462</v>
      </c>
      <c r="I31" s="81"/>
      <c r="J31" s="81">
        <f>'Call AA'!J59</f>
        <v>0</v>
      </c>
      <c r="K31" s="81">
        <f>'Call AA'!K59</f>
        <v>0</v>
      </c>
      <c r="L31" s="81"/>
      <c r="M31" s="81">
        <f>'Call AA'!M59</f>
        <v>0</v>
      </c>
    </row>
    <row r="32" spans="1:13" ht="12.75">
      <c r="A32" s="82" t="s">
        <v>17</v>
      </c>
      <c r="B32" s="83">
        <f>B31</f>
        <v>2298421.6747345715</v>
      </c>
      <c r="C32" s="83">
        <v>0</v>
      </c>
      <c r="D32" s="83">
        <v>0</v>
      </c>
      <c r="E32" s="84">
        <f>'Call AA'!E60</f>
        <v>3116427.7662117872</v>
      </c>
      <c r="F32" s="84"/>
      <c r="G32" s="81">
        <f>'Call AA'!G60</f>
        <v>0</v>
      </c>
      <c r="H32" s="81">
        <f>'Call AA'!H60</f>
        <v>1667586.3634344498</v>
      </c>
      <c r="I32" s="81"/>
      <c r="J32" s="81">
        <f>'Call AA'!J60</f>
        <v>0</v>
      </c>
      <c r="K32" s="81">
        <f>'Call AA'!K60</f>
        <v>366799.9681971337</v>
      </c>
      <c r="L32" s="81"/>
      <c r="M32" s="81">
        <f>'Call AA'!M60</f>
        <v>0</v>
      </c>
    </row>
    <row r="33" spans="1:13" ht="12.75">
      <c r="A33" s="82" t="s">
        <v>18</v>
      </c>
      <c r="B33" s="83">
        <f>B32</f>
        <v>2298421.6747345715</v>
      </c>
      <c r="C33" s="83">
        <v>0</v>
      </c>
      <c r="D33" s="83">
        <v>0</v>
      </c>
      <c r="E33" s="84">
        <f>'Call AA'!E61</f>
        <v>3116427.7662117872</v>
      </c>
      <c r="F33" s="84"/>
      <c r="G33" s="81">
        <f>'Call AA'!G61</f>
        <v>0</v>
      </c>
      <c r="H33" s="81">
        <f>'Call AA'!H61</f>
        <v>2047479.4251008523</v>
      </c>
      <c r="I33" s="81"/>
      <c r="J33" s="81">
        <f>'Call AA'!J61</f>
        <v>0</v>
      </c>
      <c r="K33" s="81">
        <f>'Call AA'!K61</f>
        <v>1045242.7130154462</v>
      </c>
      <c r="L33" s="81"/>
      <c r="M33" s="81">
        <f>'Call AA'!M61</f>
        <v>0</v>
      </c>
    </row>
    <row r="34" spans="1:13" ht="12.75">
      <c r="A34" s="82" t="s">
        <v>19</v>
      </c>
      <c r="B34" s="83">
        <f>B33</f>
        <v>2298421.6747345715</v>
      </c>
      <c r="C34" s="83">
        <v>0</v>
      </c>
      <c r="D34" s="83">
        <v>0</v>
      </c>
      <c r="E34" s="84">
        <f>'Call AA'!E62</f>
        <v>3798746.7816681406</v>
      </c>
      <c r="F34" s="84"/>
      <c r="G34" s="81">
        <f>'Call AA'!G62</f>
        <v>0</v>
      </c>
      <c r="H34" s="81">
        <f>'Call AA'!H62</f>
        <v>2363486.566211787</v>
      </c>
      <c r="I34" s="81"/>
      <c r="J34" s="81">
        <f>'Call AA'!J62</f>
        <v>0</v>
      </c>
      <c r="K34" s="81">
        <f>'Call AA'!K62</f>
        <v>1667586.3634344498</v>
      </c>
      <c r="L34" s="81"/>
      <c r="M34" s="81">
        <f>'Call AA'!M62</f>
        <v>0</v>
      </c>
    </row>
    <row r="35" spans="1:13" ht="12.75">
      <c r="A35" s="82" t="s">
        <v>20</v>
      </c>
      <c r="B35" s="83">
        <f>B34+D13</f>
        <v>3381520.7613953413</v>
      </c>
      <c r="C35" s="83">
        <v>0</v>
      </c>
      <c r="D35" s="83">
        <v>0</v>
      </c>
      <c r="E35" s="84">
        <f>'Call AA'!E63</f>
        <v>3798746.7816681406</v>
      </c>
      <c r="F35" s="84"/>
      <c r="G35" s="81">
        <f>'Call AA'!G63</f>
        <v>0</v>
      </c>
      <c r="H35" s="81">
        <f>'Call AA'!H63</f>
        <v>2654069.71853024</v>
      </c>
      <c r="I35" s="81"/>
      <c r="J35" s="81">
        <f>'Call AA'!J63</f>
        <v>0</v>
      </c>
      <c r="K35" s="81">
        <f>'Call AA'!K63</f>
        <v>2047479.4251008523</v>
      </c>
      <c r="L35" s="81"/>
      <c r="M35" s="81">
        <f>'Call AA'!M63</f>
        <v>0</v>
      </c>
    </row>
    <row r="36" spans="1:13" ht="12.75">
      <c r="A36" s="82" t="s">
        <v>21</v>
      </c>
      <c r="B36" s="83">
        <f>B35</f>
        <v>3381520.7613953413</v>
      </c>
      <c r="C36" s="83">
        <v>0</v>
      </c>
      <c r="D36" s="83">
        <v>0</v>
      </c>
      <c r="E36" s="84">
        <f>'Call AA'!E64</f>
        <v>3798746.7816681406</v>
      </c>
      <c r="F36" s="84"/>
      <c r="G36" s="81">
        <f>'Call AA'!G64</f>
        <v>0</v>
      </c>
      <c r="H36" s="81">
        <f>'Call AA'!H64</f>
        <v>3012884.7723943284</v>
      </c>
      <c r="I36" s="81"/>
      <c r="J36" s="81">
        <f>'Call AA'!J64</f>
        <v>0</v>
      </c>
      <c r="K36" s="81">
        <f>'Call AA'!K64</f>
        <v>2363486.566211787</v>
      </c>
      <c r="L36" s="81"/>
      <c r="M36" s="81">
        <f>'Call AA'!M64</f>
        <v>0</v>
      </c>
    </row>
    <row r="37" spans="1:13" ht="12.75">
      <c r="A37" s="82" t="s">
        <v>22</v>
      </c>
      <c r="B37" s="83">
        <f>B36</f>
        <v>3381520.7613953413</v>
      </c>
      <c r="C37" s="83">
        <v>0</v>
      </c>
      <c r="D37" s="83">
        <v>0</v>
      </c>
      <c r="E37" s="84">
        <f>'Call AA'!E65</f>
        <v>3798746.7816681406</v>
      </c>
      <c r="F37" s="84"/>
      <c r="G37" s="81">
        <f>'Call AA'!G65</f>
        <v>0</v>
      </c>
      <c r="H37" s="81">
        <f>'Call AA'!H65</f>
        <v>3405815.7770312345</v>
      </c>
      <c r="I37" s="81"/>
      <c r="J37" s="81">
        <f>'Call AA'!J65</f>
        <v>0</v>
      </c>
      <c r="K37" s="81">
        <f>'Call AA'!K65</f>
        <v>2654069.71853024</v>
      </c>
      <c r="L37" s="81"/>
      <c r="M37" s="81">
        <f>'Call AA'!M65</f>
        <v>0</v>
      </c>
    </row>
    <row r="38" spans="1:13" ht="12.75">
      <c r="A38" s="82" t="s">
        <v>23</v>
      </c>
      <c r="B38" s="83">
        <f>B37</f>
        <v>3381520.7613953413</v>
      </c>
      <c r="C38" s="83">
        <f>B26</f>
        <v>515676.456393446</v>
      </c>
      <c r="D38" s="83">
        <f>C38-J11</f>
        <v>19327.461356935964</v>
      </c>
      <c r="E38" s="84">
        <f>'Call AA'!E66</f>
        <v>4468027.854153991</v>
      </c>
      <c r="F38" s="84"/>
      <c r="G38" s="81">
        <f>'Call AA'!G66</f>
        <v>0</v>
      </c>
      <c r="H38" s="81">
        <f>'Call AA'!H66</f>
        <v>3798746.7816681406</v>
      </c>
      <c r="I38" s="81"/>
      <c r="J38" s="81">
        <f>'Call AA'!J66</f>
        <v>0</v>
      </c>
      <c r="K38" s="81">
        <f>'Call AA'!K66</f>
        <v>3012884.7723943284</v>
      </c>
      <c r="L38" s="81"/>
      <c r="M38" s="81">
        <f>'Call AA'!M66</f>
        <v>0</v>
      </c>
    </row>
    <row r="39" spans="1:13" ht="12.75">
      <c r="A39" s="82" t="s">
        <v>24</v>
      </c>
      <c r="B39" s="83">
        <f>B38+D14</f>
        <v>4541082.93300595</v>
      </c>
      <c r="C39" s="83">
        <f>C38</f>
        <v>515676.456393446</v>
      </c>
      <c r="D39" s="83">
        <f>C39-$J$11</f>
        <v>19327.461356935964</v>
      </c>
      <c r="E39" s="84">
        <f>'Call AA'!E67</f>
        <v>5511063.291794277</v>
      </c>
      <c r="F39" s="84"/>
      <c r="G39" s="81">
        <f>'Call AA'!G67</f>
        <v>0</v>
      </c>
      <c r="H39" s="81">
        <f>'Call AA'!H67</f>
        <v>4036906.539929339</v>
      </c>
      <c r="I39" s="81"/>
      <c r="J39" s="81">
        <f>'Call AA'!J67</f>
        <v>0</v>
      </c>
      <c r="K39" s="81">
        <f>'Call AA'!K67</f>
        <v>3405815.7770312345</v>
      </c>
      <c r="L39" s="81"/>
      <c r="M39" s="81">
        <f>'Call AA'!M67</f>
        <v>0</v>
      </c>
    </row>
    <row r="40" spans="1:13" ht="12.75">
      <c r="A40" s="82" t="s">
        <v>25</v>
      </c>
      <c r="B40" s="83">
        <f>B39</f>
        <v>4541082.93300595</v>
      </c>
      <c r="C40" s="83">
        <f>C39</f>
        <v>515676.456393446</v>
      </c>
      <c r="D40" s="83">
        <f aca="true" t="shared" si="2" ref="D40:D57">C40-$J$11</f>
        <v>19327.461356935964</v>
      </c>
      <c r="E40" s="84">
        <f>'Call AA'!E68</f>
        <v>5511063.291794277</v>
      </c>
      <c r="F40" s="84"/>
      <c r="G40" s="81">
        <f>'Call AA'!G68</f>
        <v>0</v>
      </c>
      <c r="H40" s="81">
        <f>'Call AA'!H68</f>
        <v>4341994.405439123</v>
      </c>
      <c r="I40" s="81"/>
      <c r="J40" s="81">
        <f>'Call AA'!J68</f>
        <v>0</v>
      </c>
      <c r="K40" s="81">
        <f>'Call AA'!K68</f>
        <v>3798746.7816681406</v>
      </c>
      <c r="L40" s="81"/>
      <c r="M40" s="81">
        <f>'Call AA'!M68</f>
        <v>0</v>
      </c>
    </row>
    <row r="41" spans="1:13" ht="12.75">
      <c r="A41" s="82" t="s">
        <v>26</v>
      </c>
      <c r="B41" s="83">
        <f>B40</f>
        <v>4541082.93300595</v>
      </c>
      <c r="C41" s="83">
        <f>C40</f>
        <v>515676.456393446</v>
      </c>
      <c r="D41" s="83">
        <f t="shared" si="2"/>
        <v>19327.461356935964</v>
      </c>
      <c r="E41" s="84">
        <f>'Call AA'!E69</f>
        <v>5511063.291794277</v>
      </c>
      <c r="F41" s="84"/>
      <c r="G41" s="81">
        <f>'Call AA'!G69</f>
        <v>0</v>
      </c>
      <c r="H41" s="81">
        <f>'Call AA'!H69</f>
        <v>4647082.270948906</v>
      </c>
      <c r="I41" s="81"/>
      <c r="J41" s="81">
        <f>'Call AA'!J69</f>
        <v>0</v>
      </c>
      <c r="K41" s="81">
        <f>'Call AA'!K69</f>
        <v>4036906.539929339</v>
      </c>
      <c r="L41" s="81"/>
      <c r="M41" s="81">
        <f>'Call AA'!M69</f>
        <v>0</v>
      </c>
    </row>
    <row r="42" spans="1:13" ht="12.75">
      <c r="A42" s="82" t="s">
        <v>27</v>
      </c>
      <c r="B42" s="83">
        <f>B41</f>
        <v>4541082.93300595</v>
      </c>
      <c r="C42" s="83">
        <f>B27</f>
        <v>1270560.1928238587</v>
      </c>
      <c r="D42" s="83">
        <f t="shared" si="2"/>
        <v>774211.1977873486</v>
      </c>
      <c r="E42" s="84">
        <f>'Call AA'!E70</f>
        <v>6182517.354775211</v>
      </c>
      <c r="F42" s="84"/>
      <c r="G42" s="81">
        <f>'Call AA'!G70</f>
        <v>0</v>
      </c>
      <c r="H42" s="81">
        <f>'Call AA'!H70</f>
        <v>4885242.029210105</v>
      </c>
      <c r="I42" s="81"/>
      <c r="J42" s="81">
        <f>'Call AA'!J70</f>
        <v>0</v>
      </c>
      <c r="K42" s="81">
        <f>'Call AA'!K70</f>
        <v>4341994.405439123</v>
      </c>
      <c r="L42" s="81"/>
      <c r="M42" s="81">
        <f>'Call AA'!M70</f>
        <v>0</v>
      </c>
    </row>
    <row r="43" spans="1:13" ht="12.75">
      <c r="A43" s="82" t="s">
        <v>28</v>
      </c>
      <c r="B43" s="83">
        <f>B42+D15</f>
        <v>5777534.836811097</v>
      </c>
      <c r="C43" s="83">
        <f>C42</f>
        <v>1270560.1928238587</v>
      </c>
      <c r="D43" s="83">
        <f t="shared" si="2"/>
        <v>774211.1977873486</v>
      </c>
      <c r="E43" s="84">
        <f>'Call AA'!E71</f>
        <v>6182517.354775211</v>
      </c>
      <c r="F43" s="84"/>
      <c r="G43" s="81">
        <f>'Call AA'!G71</f>
        <v>0</v>
      </c>
      <c r="H43" s="81">
        <f>'Call AA'!H71</f>
        <v>5123836.38557032</v>
      </c>
      <c r="I43" s="81"/>
      <c r="J43" s="81">
        <f>'Call AA'!J71</f>
        <v>0</v>
      </c>
      <c r="K43" s="81">
        <f>'Call AA'!K71</f>
        <v>4647082.270948906</v>
      </c>
      <c r="L43" s="81"/>
      <c r="M43" s="81">
        <f>'Call AA'!M71</f>
        <v>0</v>
      </c>
    </row>
    <row r="44" spans="1:13" ht="12.75">
      <c r="A44" s="82" t="s">
        <v>29</v>
      </c>
      <c r="B44" s="83">
        <f>B43</f>
        <v>5777534.836811097</v>
      </c>
      <c r="C44" s="83">
        <f>C43</f>
        <v>1270560.1928238587</v>
      </c>
      <c r="D44" s="83">
        <f t="shared" si="2"/>
        <v>774211.1977873486</v>
      </c>
      <c r="E44" s="84">
        <f>'Call AA'!E72</f>
        <v>6182517.354775211</v>
      </c>
      <c r="F44" s="84"/>
      <c r="G44" s="81">
        <f>'Call AA'!G72</f>
        <v>0</v>
      </c>
      <c r="H44" s="81">
        <f>'Call AA'!H72</f>
        <v>5481727.920110643</v>
      </c>
      <c r="I44" s="81"/>
      <c r="J44" s="81">
        <f>'Call AA'!J72</f>
        <v>0</v>
      </c>
      <c r="K44" s="81">
        <f>'Call AA'!K72</f>
        <v>4885242.029210105</v>
      </c>
      <c r="L44" s="81"/>
      <c r="M44" s="81">
        <f>'Call AA'!M72</f>
        <v>0</v>
      </c>
    </row>
    <row r="45" spans="1:13" ht="12.75">
      <c r="A45" s="82" t="s">
        <v>30</v>
      </c>
      <c r="B45" s="83">
        <f>B44</f>
        <v>5777534.836811097</v>
      </c>
      <c r="C45" s="83">
        <f>C44</f>
        <v>1270560.1928238587</v>
      </c>
      <c r="D45" s="83">
        <f t="shared" si="2"/>
        <v>774211.1977873486</v>
      </c>
      <c r="E45" s="84">
        <f>'Call AA'!E73</f>
        <v>6182517.354775211</v>
      </c>
      <c r="F45" s="84"/>
      <c r="G45" s="81">
        <f>'Call AA'!G73</f>
        <v>0</v>
      </c>
      <c r="H45" s="81">
        <f>'Call AA'!H73</f>
        <v>5839619.4546509655</v>
      </c>
      <c r="I45" s="81"/>
      <c r="J45" s="81">
        <f>'Call AA'!J73</f>
        <v>0</v>
      </c>
      <c r="K45" s="81">
        <f>'Call AA'!K73</f>
        <v>5123836.38557032</v>
      </c>
      <c r="L45" s="81"/>
      <c r="M45" s="81">
        <f>'Call AA'!M73</f>
        <v>0</v>
      </c>
    </row>
    <row r="46" spans="1:13" ht="12.75">
      <c r="A46" s="82" t="s">
        <v>31</v>
      </c>
      <c r="B46" s="83">
        <f>B45</f>
        <v>5777534.836811097</v>
      </c>
      <c r="C46" s="83">
        <f>B34</f>
        <v>2298421.6747345715</v>
      </c>
      <c r="D46" s="83">
        <f t="shared" si="2"/>
        <v>1802072.6796980614</v>
      </c>
      <c r="E46" s="84">
        <f>'Call AA'!E74</f>
        <v>8529347.089465853</v>
      </c>
      <c r="F46" s="84"/>
      <c r="G46" s="81">
        <f>'Call AA'!G74</f>
        <v>0</v>
      </c>
      <c r="H46" s="81">
        <f>'Call AA'!H74</f>
        <v>6182517.354775209</v>
      </c>
      <c r="I46" s="81"/>
      <c r="J46" s="81">
        <f>'Call AA'!J74</f>
        <v>0</v>
      </c>
      <c r="K46" s="81">
        <f>'Call AA'!K74</f>
        <v>5481727.920110643</v>
      </c>
      <c r="L46" s="81"/>
      <c r="M46" s="81">
        <f>'Call AA'!M74</f>
        <v>0</v>
      </c>
    </row>
    <row r="47" spans="1:13" ht="12.75">
      <c r="A47" s="82" t="s">
        <v>32</v>
      </c>
      <c r="B47" s="83">
        <f>B46+D16</f>
        <v>7090700.000000001</v>
      </c>
      <c r="C47" s="83">
        <f>C46</f>
        <v>2298421.6747345715</v>
      </c>
      <c r="D47" s="83">
        <f t="shared" si="2"/>
        <v>1802072.6796980614</v>
      </c>
      <c r="E47" s="84">
        <f>'Call AA'!E75</f>
        <v>8529347.089465853</v>
      </c>
      <c r="F47" s="84"/>
      <c r="G47" s="81">
        <f>'Call AA'!G75</f>
        <v>0</v>
      </c>
      <c r="H47" s="81">
        <f>'Call AA'!H75</f>
        <v>6417200.328244274</v>
      </c>
      <c r="I47" s="81"/>
      <c r="J47" s="81">
        <f>'Call AA'!J75</f>
        <v>0</v>
      </c>
      <c r="K47" s="81">
        <f>'Call AA'!K75</f>
        <v>5839619.4546509655</v>
      </c>
      <c r="L47" s="81"/>
      <c r="M47" s="81">
        <f>'Call AA'!M75</f>
        <v>0</v>
      </c>
    </row>
    <row r="48" spans="1:13" ht="12.75">
      <c r="A48" s="82" t="s">
        <v>33</v>
      </c>
      <c r="B48" s="83">
        <f aca="true" t="shared" si="3" ref="B48:B58">$B$47</f>
        <v>7090700.000000001</v>
      </c>
      <c r="C48" s="83">
        <f>C47</f>
        <v>2298421.6747345715</v>
      </c>
      <c r="D48" s="83">
        <f t="shared" si="2"/>
        <v>1802072.6796980614</v>
      </c>
      <c r="E48" s="84">
        <f>'Call AA'!E76</f>
        <v>8529347.089465853</v>
      </c>
      <c r="F48" s="84"/>
      <c r="G48" s="81">
        <f>'Call AA'!G76</f>
        <v>0</v>
      </c>
      <c r="H48" s="81">
        <f>'Call AA'!H76</f>
        <v>6651883.301713338</v>
      </c>
      <c r="I48" s="81"/>
      <c r="J48" s="81">
        <f>'Call AA'!J76</f>
        <v>0</v>
      </c>
      <c r="K48" s="81">
        <f>'Call AA'!K76</f>
        <v>6182517.354775209</v>
      </c>
      <c r="L48" s="81"/>
      <c r="M48" s="81">
        <f>'Call AA'!M76</f>
        <v>0</v>
      </c>
    </row>
    <row r="49" spans="1:13" ht="12.75">
      <c r="A49" s="82" t="s">
        <v>34</v>
      </c>
      <c r="B49" s="83">
        <f t="shared" si="3"/>
        <v>7090700.000000001</v>
      </c>
      <c r="C49" s="83">
        <f>C48</f>
        <v>2298421.6747345715</v>
      </c>
      <c r="D49" s="83">
        <f t="shared" si="2"/>
        <v>1802072.6796980614</v>
      </c>
      <c r="E49" s="84">
        <f>'Call AA'!E77</f>
        <v>8529347.089465853</v>
      </c>
      <c r="F49" s="84"/>
      <c r="G49" s="81">
        <f>'Call AA'!G77</f>
        <v>0</v>
      </c>
      <c r="H49" s="81">
        <f>'Call AA'!H77</f>
        <v>6886566.275182403</v>
      </c>
      <c r="I49" s="81"/>
      <c r="J49" s="81">
        <f>'Call AA'!J77</f>
        <v>0</v>
      </c>
      <c r="K49" s="81">
        <f>'Call AA'!K77</f>
        <v>6417200.328244274</v>
      </c>
      <c r="L49" s="81"/>
      <c r="M49" s="81">
        <f>'Call AA'!M77</f>
        <v>0</v>
      </c>
    </row>
    <row r="50" spans="1:13" ht="12.75">
      <c r="A50" s="82" t="s">
        <v>35</v>
      </c>
      <c r="B50" s="83">
        <f t="shared" si="3"/>
        <v>7090700.000000001</v>
      </c>
      <c r="C50" s="83">
        <f>B35+D14</f>
        <v>4541082.93300595</v>
      </c>
      <c r="D50" s="83">
        <f t="shared" si="2"/>
        <v>4044733.9379694406</v>
      </c>
      <c r="E50" s="84">
        <f>'Call AA'!E78</f>
        <v>8529347.089465853</v>
      </c>
      <c r="F50" s="84"/>
      <c r="G50" s="81">
        <f>'Call AA'!G78</f>
        <v>0</v>
      </c>
      <c r="H50" s="81">
        <f>'Call AA'!H78</f>
        <v>7102108.248651467</v>
      </c>
      <c r="I50" s="81"/>
      <c r="J50" s="81">
        <f>'Call AA'!J78</f>
        <v>0</v>
      </c>
      <c r="K50" s="81">
        <f>'Call AA'!K78</f>
        <v>6651883.301713338</v>
      </c>
      <c r="L50" s="81"/>
      <c r="M50" s="81">
        <f>'Call AA'!M78</f>
        <v>0</v>
      </c>
    </row>
    <row r="51" spans="1:13" ht="12.75">
      <c r="A51" s="82" t="s">
        <v>36</v>
      </c>
      <c r="B51" s="83">
        <f t="shared" si="3"/>
        <v>7090700.000000001</v>
      </c>
      <c r="C51" s="83">
        <f>C50</f>
        <v>4541082.93300595</v>
      </c>
      <c r="D51" s="83">
        <f t="shared" si="2"/>
        <v>4044733.9379694406</v>
      </c>
      <c r="E51" s="84">
        <f>'Call AA'!E79</f>
        <v>8529347.089465853</v>
      </c>
      <c r="F51" s="84"/>
      <c r="G51" s="81">
        <f>'Call AA'!G79</f>
        <v>0</v>
      </c>
      <c r="H51" s="81">
        <f>'Call AA'!H79</f>
        <v>7102108.248651467</v>
      </c>
      <c r="I51" s="81"/>
      <c r="J51" s="81">
        <f>'Call AA'!J79</f>
        <v>0</v>
      </c>
      <c r="K51" s="81">
        <f>'Call AA'!K79</f>
        <v>6886566.275182403</v>
      </c>
      <c r="L51" s="81"/>
      <c r="M51" s="81">
        <f>'Call AA'!M79</f>
        <v>0</v>
      </c>
    </row>
    <row r="52" spans="1:13" ht="12.75">
      <c r="A52" s="82" t="s">
        <v>37</v>
      </c>
      <c r="B52" s="83">
        <f t="shared" si="3"/>
        <v>7090700.000000001</v>
      </c>
      <c r="C52" s="83">
        <f>C51</f>
        <v>4541082.93300595</v>
      </c>
      <c r="D52" s="83">
        <f t="shared" si="2"/>
        <v>4044733.9379694406</v>
      </c>
      <c r="E52" s="84">
        <f>'Call AA'!E80</f>
        <v>8529347.089465853</v>
      </c>
      <c r="F52" s="84"/>
      <c r="G52" s="81">
        <f>'Call AA'!G80</f>
        <v>0</v>
      </c>
      <c r="H52" s="81">
        <f>'Call AA'!H80</f>
        <v>7102108.248651467</v>
      </c>
      <c r="I52" s="81"/>
      <c r="J52" s="81">
        <f>'Call AA'!J80</f>
        <v>0</v>
      </c>
      <c r="K52" s="81">
        <f>'Call AA'!K80</f>
        <v>7102108.248651467</v>
      </c>
      <c r="L52" s="81"/>
      <c r="M52" s="81">
        <f>'Call AA'!M80</f>
        <v>0</v>
      </c>
    </row>
    <row r="53" spans="1:13" ht="12.75">
      <c r="A53" s="82" t="s">
        <v>38</v>
      </c>
      <c r="B53" s="83">
        <f t="shared" si="3"/>
        <v>7090700.000000001</v>
      </c>
      <c r="C53" s="83">
        <f>C52</f>
        <v>4541082.93300595</v>
      </c>
      <c r="D53" s="83">
        <f t="shared" si="2"/>
        <v>4044733.9379694406</v>
      </c>
      <c r="E53" s="84">
        <f>'Call AA'!E81</f>
        <v>8529347.089465853</v>
      </c>
      <c r="F53" s="84"/>
      <c r="G53" s="81">
        <f>'Call AA'!G81</f>
        <v>0</v>
      </c>
      <c r="H53" s="81">
        <f>'Call AA'!H81</f>
        <v>7102108.248651467</v>
      </c>
      <c r="I53" s="81"/>
      <c r="J53" s="81">
        <f>'Call AA'!J81</f>
        <v>0</v>
      </c>
      <c r="K53" s="81">
        <f>'Call AA'!K81</f>
        <v>7102108.248651467</v>
      </c>
      <c r="L53" s="81"/>
      <c r="M53" s="81">
        <f>'Call AA'!M81</f>
        <v>0</v>
      </c>
    </row>
    <row r="54" spans="1:13" ht="12.75">
      <c r="A54" s="82" t="s">
        <v>39</v>
      </c>
      <c r="B54" s="83">
        <f t="shared" si="3"/>
        <v>7090700.000000001</v>
      </c>
      <c r="C54" s="83">
        <f>B46</f>
        <v>5777534.836811097</v>
      </c>
      <c r="D54" s="83">
        <f t="shared" si="2"/>
        <v>5281185.8417745875</v>
      </c>
      <c r="E54" s="84">
        <f>'Call AA'!E82</f>
        <v>8529347.089465853</v>
      </c>
      <c r="F54" s="84"/>
      <c r="G54" s="81">
        <f>'Call AA'!G82</f>
        <v>0</v>
      </c>
      <c r="H54" s="81">
        <f>'Call AA'!H82</f>
        <v>7102108.248651467</v>
      </c>
      <c r="I54" s="81"/>
      <c r="J54" s="81">
        <f>'Call AA'!J82</f>
        <v>0</v>
      </c>
      <c r="K54" s="81">
        <f>'Call AA'!K82</f>
        <v>7102108.248651467</v>
      </c>
      <c r="L54" s="81"/>
      <c r="M54" s="81">
        <f>'Call AA'!M82</f>
        <v>0</v>
      </c>
    </row>
    <row r="55" spans="1:13" ht="12.75">
      <c r="A55" s="82" t="s">
        <v>40</v>
      </c>
      <c r="B55" s="83">
        <f t="shared" si="3"/>
        <v>7090700.000000001</v>
      </c>
      <c r="C55" s="83">
        <f>C54</f>
        <v>5777534.836811097</v>
      </c>
      <c r="D55" s="83">
        <f t="shared" si="2"/>
        <v>5281185.8417745875</v>
      </c>
      <c r="E55" s="84">
        <f>'Call AA'!E83</f>
        <v>8529347.089465853</v>
      </c>
      <c r="F55" s="84"/>
      <c r="G55" s="81">
        <f>'Call AA'!G83</f>
        <v>0</v>
      </c>
      <c r="H55" s="81">
        <f>'Call AA'!H83</f>
        <v>7102108.248651467</v>
      </c>
      <c r="I55" s="81"/>
      <c r="J55" s="81">
        <f>'Call AA'!J83</f>
        <v>0</v>
      </c>
      <c r="K55" s="81">
        <f>'Call AA'!K83</f>
        <v>7102108.248651467</v>
      </c>
      <c r="L55" s="81"/>
      <c r="M55" s="81">
        <f>'Call AA'!M83</f>
        <v>0</v>
      </c>
    </row>
    <row r="56" spans="1:13" ht="12.75">
      <c r="A56" s="82" t="s">
        <v>41</v>
      </c>
      <c r="B56" s="83">
        <f t="shared" si="3"/>
        <v>7090700.000000001</v>
      </c>
      <c r="C56" s="83">
        <f>C55</f>
        <v>5777534.836811097</v>
      </c>
      <c r="D56" s="83">
        <f t="shared" si="2"/>
        <v>5281185.8417745875</v>
      </c>
      <c r="E56" s="84">
        <f>'Call AA'!E84</f>
        <v>8529347.089465853</v>
      </c>
      <c r="F56" s="84"/>
      <c r="G56" s="81">
        <f>'Call AA'!G84</f>
        <v>0</v>
      </c>
      <c r="H56" s="81">
        <f>'Call AA'!H84</f>
        <v>7102108.248651467</v>
      </c>
      <c r="I56" s="81"/>
      <c r="J56" s="81">
        <f>'Call AA'!J84</f>
        <v>0</v>
      </c>
      <c r="K56" s="81">
        <f>'Call AA'!K84</f>
        <v>7102108.248651467</v>
      </c>
      <c r="L56" s="81"/>
      <c r="M56" s="81">
        <f>'Call AA'!M84</f>
        <v>0</v>
      </c>
    </row>
    <row r="57" spans="1:13" ht="12.75">
      <c r="A57" s="82" t="s">
        <v>42</v>
      </c>
      <c r="B57" s="83">
        <f t="shared" si="3"/>
        <v>7090700.000000001</v>
      </c>
      <c r="C57" s="83">
        <f>C56</f>
        <v>5777534.836811097</v>
      </c>
      <c r="D57" s="83">
        <f t="shared" si="2"/>
        <v>5281185.8417745875</v>
      </c>
      <c r="E57" s="84">
        <f>'Call AA'!E85</f>
        <v>8529347.089465853</v>
      </c>
      <c r="F57" s="84"/>
      <c r="G57" s="81">
        <f>'Call AA'!G85</f>
        <v>0</v>
      </c>
      <c r="H57" s="81">
        <f>'Call AA'!H85</f>
        <v>7102108.248651467</v>
      </c>
      <c r="I57" s="81"/>
      <c r="J57" s="81">
        <f>'Call AA'!J85</f>
        <v>0</v>
      </c>
      <c r="K57" s="81">
        <f>'Call AA'!K85</f>
        <v>7102108.248651467</v>
      </c>
      <c r="L57" s="81"/>
      <c r="M57" s="81">
        <f>'Call AA'!M85</f>
        <v>0</v>
      </c>
    </row>
    <row r="58" spans="1:13" ht="12.75">
      <c r="A58" s="82" t="s">
        <v>43</v>
      </c>
      <c r="B58" s="83">
        <f t="shared" si="3"/>
        <v>7090700.000000001</v>
      </c>
      <c r="C58" s="83">
        <f>B47</f>
        <v>7090700.000000001</v>
      </c>
      <c r="D58" s="83">
        <f>C58</f>
        <v>7090700.000000001</v>
      </c>
      <c r="E58" s="84">
        <f>'Call AA'!E86</f>
        <v>8529347.089465853</v>
      </c>
      <c r="F58" s="84"/>
      <c r="G58" s="81">
        <f>'Call AA'!G86</f>
        <v>0</v>
      </c>
      <c r="H58" s="81">
        <f>'Call AA'!H86</f>
        <v>7102108.248651467</v>
      </c>
      <c r="I58" s="81"/>
      <c r="J58" s="81">
        <f>'Call AA'!J86</f>
        <v>0</v>
      </c>
      <c r="K58" s="81">
        <f>'Call AA'!K86</f>
        <v>7102108.248651467</v>
      </c>
      <c r="L58" s="81"/>
      <c r="M58" s="81">
        <f>'Call AA'!M86</f>
        <v>0</v>
      </c>
    </row>
  </sheetData>
  <mergeCells count="2">
    <mergeCell ref="A7:C7"/>
    <mergeCell ref="A2:O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89"/>
  <sheetViews>
    <sheetView zoomScaleSheetLayoutView="115" workbookViewId="0" topLeftCell="A7">
      <selection activeCell="H17" sqref="H17"/>
    </sheetView>
  </sheetViews>
  <sheetFormatPr defaultColWidth="9.140625" defaultRowHeight="12.75"/>
  <cols>
    <col min="1" max="1" width="11.28125" style="0" customWidth="1"/>
    <col min="2" max="2" width="11.57421875" style="0" customWidth="1"/>
    <col min="3" max="3" width="14.00390625" style="0" customWidth="1"/>
    <col min="4" max="5" width="13.7109375" style="0" customWidth="1"/>
    <col min="6" max="6" width="13.140625" style="0" customWidth="1"/>
    <col min="7" max="8" width="16.8515625" style="0" customWidth="1"/>
    <col min="9" max="9" width="16.140625" style="0" customWidth="1"/>
    <col min="10" max="10" width="17.00390625" style="0" customWidth="1"/>
    <col min="11" max="11" width="12.8515625" style="0" customWidth="1"/>
    <col min="12" max="12" width="12.00390625" style="0" customWidth="1"/>
    <col min="13" max="13" width="13.57421875" style="0" customWidth="1"/>
  </cols>
  <sheetData>
    <row r="1" spans="1:13" ht="22.5" customHeight="1">
      <c r="A1" s="157" t="s">
        <v>112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22.5" customHeight="1">
      <c r="A2" s="154" t="s">
        <v>63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4" spans="1:3" ht="12.75">
      <c r="A4" t="s">
        <v>148</v>
      </c>
      <c r="B4" s="14"/>
      <c r="C4" s="6">
        <f>'IM 1.3'!B5</f>
        <v>7090700</v>
      </c>
    </row>
    <row r="6" ht="12.75">
      <c r="A6" t="s">
        <v>57</v>
      </c>
    </row>
    <row r="7" spans="1:13" ht="45" customHeight="1">
      <c r="A7" s="4" t="s">
        <v>4</v>
      </c>
      <c r="B7" s="4" t="s">
        <v>5</v>
      </c>
      <c r="C7" s="4" t="s">
        <v>6</v>
      </c>
      <c r="D7" s="4" t="s">
        <v>7</v>
      </c>
      <c r="E7" s="12" t="s">
        <v>137</v>
      </c>
      <c r="F7" s="12" t="s">
        <v>139</v>
      </c>
      <c r="G7" s="12" t="s">
        <v>138</v>
      </c>
      <c r="H7" s="12" t="s">
        <v>141</v>
      </c>
      <c r="I7" s="12" t="s">
        <v>142</v>
      </c>
      <c r="J7" s="12" t="s">
        <v>147</v>
      </c>
      <c r="K7" s="12" t="s">
        <v>145</v>
      </c>
      <c r="L7" s="12" t="s">
        <v>146</v>
      </c>
      <c r="M7" s="12" t="s">
        <v>144</v>
      </c>
    </row>
    <row r="8" spans="1:13" ht="12.75">
      <c r="A8" s="5" t="s">
        <v>8</v>
      </c>
      <c r="B8" s="6"/>
      <c r="C8" s="6"/>
      <c r="D8" s="6"/>
      <c r="E8" s="6"/>
      <c r="F8" s="66"/>
      <c r="G8" s="45"/>
      <c r="H8" s="45"/>
      <c r="I8" s="66">
        <f aca="true" t="shared" si="0" ref="I8:I13">F8</f>
        <v>0</v>
      </c>
      <c r="J8" s="6">
        <v>0</v>
      </c>
      <c r="K8" s="6"/>
      <c r="L8" s="66">
        <f>I8</f>
        <v>0</v>
      </c>
      <c r="M8" s="45">
        <v>0</v>
      </c>
    </row>
    <row r="9" spans="1:13" ht="12.75">
      <c r="A9" s="5" t="s">
        <v>9</v>
      </c>
      <c r="B9" s="6"/>
      <c r="C9" s="6"/>
      <c r="D9" s="6"/>
      <c r="E9" s="6"/>
      <c r="F9" s="66"/>
      <c r="G9" s="45"/>
      <c r="H9" s="45"/>
      <c r="I9" s="66">
        <f t="shared" si="0"/>
        <v>0</v>
      </c>
      <c r="J9" s="6">
        <v>0</v>
      </c>
      <c r="K9" s="6"/>
      <c r="L9" s="66">
        <f aca="true" t="shared" si="1" ref="L9:L14">I9</f>
        <v>0</v>
      </c>
      <c r="M9" s="45">
        <v>0</v>
      </c>
    </row>
    <row r="10" spans="1:13" ht="12.75">
      <c r="A10" s="5" t="s">
        <v>10</v>
      </c>
      <c r="B10" s="6"/>
      <c r="C10" s="6"/>
      <c r="D10" s="6"/>
      <c r="E10" s="6"/>
      <c r="F10" s="66"/>
      <c r="G10" s="45"/>
      <c r="H10" s="45"/>
      <c r="I10" s="66">
        <f t="shared" si="0"/>
        <v>0</v>
      </c>
      <c r="J10" s="6">
        <v>0</v>
      </c>
      <c r="K10" s="6"/>
      <c r="L10" s="66">
        <f t="shared" si="1"/>
        <v>0</v>
      </c>
      <c r="M10" s="45">
        <v>0</v>
      </c>
    </row>
    <row r="11" spans="1:13" ht="12.75">
      <c r="A11" s="5" t="s">
        <v>11</v>
      </c>
      <c r="B11" s="6"/>
      <c r="C11" s="6"/>
      <c r="D11" s="6"/>
      <c r="E11" s="6"/>
      <c r="F11" s="66"/>
      <c r="G11" s="26"/>
      <c r="H11" s="26"/>
      <c r="I11" s="66">
        <f t="shared" si="0"/>
        <v>0</v>
      </c>
      <c r="J11" s="6">
        <v>0</v>
      </c>
      <c r="K11" s="6"/>
      <c r="L11" s="66">
        <f t="shared" si="1"/>
        <v>0</v>
      </c>
      <c r="M11" s="45">
        <v>0</v>
      </c>
    </row>
    <row r="12" spans="1:13" ht="12.75">
      <c r="A12" s="5" t="s">
        <v>12</v>
      </c>
      <c r="B12" s="57" t="s">
        <v>64</v>
      </c>
      <c r="C12" s="57"/>
      <c r="D12" s="57"/>
      <c r="E12" s="26">
        <f>1369577*0.85/1.95583</f>
        <v>595215.5606571123</v>
      </c>
      <c r="F12" s="66"/>
      <c r="H12" s="26"/>
      <c r="I12" s="66">
        <f t="shared" si="0"/>
        <v>0</v>
      </c>
      <c r="J12" s="6">
        <v>0</v>
      </c>
      <c r="K12" s="6"/>
      <c r="L12" s="66">
        <f t="shared" si="1"/>
        <v>0</v>
      </c>
      <c r="M12" s="45">
        <v>0</v>
      </c>
    </row>
    <row r="13" spans="1:13" ht="12.75">
      <c r="A13" s="5" t="s">
        <v>13</v>
      </c>
      <c r="B13" s="57" t="s">
        <v>65</v>
      </c>
      <c r="C13" s="57" t="s">
        <v>66</v>
      </c>
      <c r="D13" s="57"/>
      <c r="E13" s="26">
        <f>ROUND(4331250*0.85/1.95583,0)</f>
        <v>1882353</v>
      </c>
      <c r="F13" s="66"/>
      <c r="H13" s="26"/>
      <c r="I13" s="66">
        <f t="shared" si="0"/>
        <v>0</v>
      </c>
      <c r="J13" s="6"/>
      <c r="K13" s="6"/>
      <c r="L13" s="66">
        <f t="shared" si="1"/>
        <v>0</v>
      </c>
      <c r="M13" s="45">
        <v>0</v>
      </c>
    </row>
    <row r="14" spans="1:13" ht="12.75">
      <c r="A14" s="5" t="s">
        <v>14</v>
      </c>
      <c r="B14" s="57"/>
      <c r="C14" s="57" t="s">
        <v>67</v>
      </c>
      <c r="D14" s="57" t="s">
        <v>68</v>
      </c>
      <c r="E14" s="26"/>
      <c r="F14" s="66"/>
      <c r="H14" s="6">
        <f>K17*0.1</f>
        <v>36679.99681971337</v>
      </c>
      <c r="I14" s="66"/>
      <c r="K14" s="6">
        <v>0</v>
      </c>
      <c r="L14" s="66">
        <f t="shared" si="1"/>
        <v>0</v>
      </c>
      <c r="M14" s="45">
        <v>0</v>
      </c>
    </row>
    <row r="15" spans="1:13" ht="12.75">
      <c r="A15" s="5" t="s">
        <v>15</v>
      </c>
      <c r="B15" s="57" t="s">
        <v>69</v>
      </c>
      <c r="C15" s="57" t="s">
        <v>70</v>
      </c>
      <c r="D15" s="57" t="s">
        <v>67</v>
      </c>
      <c r="E15" s="26">
        <f>1470000*0.85/1.95583</f>
        <v>638859.205554675</v>
      </c>
      <c r="F15" s="66"/>
      <c r="H15" s="6">
        <f>K17*0.9</f>
        <v>330119.9713774203</v>
      </c>
      <c r="I15" s="66"/>
      <c r="K15" s="6"/>
      <c r="L15" s="66"/>
      <c r="M15" s="45"/>
    </row>
    <row r="16" spans="1:13" ht="12.75">
      <c r="A16" s="5" t="s">
        <v>16</v>
      </c>
      <c r="B16" s="57"/>
      <c r="C16" s="57" t="s">
        <v>71</v>
      </c>
      <c r="D16" s="57" t="s">
        <v>67</v>
      </c>
      <c r="E16" s="26"/>
      <c r="F16" s="66"/>
      <c r="H16" s="6">
        <f>K18</f>
        <v>678442.7448183125</v>
      </c>
      <c r="I16" s="66"/>
      <c r="K16" s="6"/>
      <c r="L16" s="66"/>
      <c r="M16" s="45"/>
    </row>
    <row r="17" spans="1:12" ht="12.75">
      <c r="A17" s="5" t="s">
        <v>17</v>
      </c>
      <c r="B17" s="57"/>
      <c r="C17" s="57" t="s">
        <v>72</v>
      </c>
      <c r="D17" s="57" t="s">
        <v>73</v>
      </c>
      <c r="E17" s="26"/>
      <c r="F17" s="66"/>
      <c r="H17" s="6">
        <f aca="true" t="shared" si="2" ref="H17:H35">K19</f>
        <v>622343.6504190037</v>
      </c>
      <c r="I17" s="66"/>
      <c r="K17" s="45">
        <f>(0.3*E12+E13*0.1)</f>
        <v>366799.9681971337</v>
      </c>
      <c r="L17" s="66"/>
    </row>
    <row r="18" spans="1:12" ht="12.75">
      <c r="A18" s="5" t="s">
        <v>18</v>
      </c>
      <c r="B18" s="57"/>
      <c r="C18" s="57" t="s">
        <v>72</v>
      </c>
      <c r="D18" s="57" t="s">
        <v>74</v>
      </c>
      <c r="E18" s="26"/>
      <c r="F18" s="66"/>
      <c r="H18" s="6">
        <f t="shared" si="2"/>
        <v>379893.0616664025</v>
      </c>
      <c r="I18" s="66"/>
      <c r="K18" s="6">
        <f>0.4*E12+E13*0.2+0.1*E15</f>
        <v>678442.7448183125</v>
      </c>
      <c r="L18" s="66"/>
    </row>
    <row r="19" spans="1:12" ht="12.75">
      <c r="A19" s="5" t="s">
        <v>19</v>
      </c>
      <c r="B19" s="57" t="s">
        <v>75</v>
      </c>
      <c r="C19" s="57" t="s">
        <v>76</v>
      </c>
      <c r="D19" s="57" t="s">
        <v>77</v>
      </c>
      <c r="E19" s="26">
        <f>1570000*0.85/1.95583</f>
        <v>682319.0154563535</v>
      </c>
      <c r="F19" s="66"/>
      <c r="H19" s="6">
        <f t="shared" si="2"/>
        <v>316007.141110935</v>
      </c>
      <c r="I19" s="66"/>
      <c r="K19" s="6">
        <f>+E13*0.1+0.4*E15+E12*0.3</f>
        <v>622343.6504190037</v>
      </c>
      <c r="L19" s="66"/>
    </row>
    <row r="20" spans="1:12" ht="12.75">
      <c r="A20" s="5" t="s">
        <v>20</v>
      </c>
      <c r="B20" s="57"/>
      <c r="C20" s="57" t="s">
        <v>78</v>
      </c>
      <c r="D20" s="57" t="s">
        <v>79</v>
      </c>
      <c r="E20" s="26"/>
      <c r="F20" s="66"/>
      <c r="H20" s="6">
        <f t="shared" si="2"/>
        <v>290583.15231845307</v>
      </c>
      <c r="I20" s="66"/>
      <c r="K20" s="6">
        <f>+E13*0.1+0.3*E15</f>
        <v>379893.0616664025</v>
      </c>
      <c r="L20" s="66"/>
    </row>
    <row r="21" spans="1:12" ht="12.75">
      <c r="A21" s="5" t="s">
        <v>21</v>
      </c>
      <c r="B21" s="57"/>
      <c r="C21" s="57" t="s">
        <v>80</v>
      </c>
      <c r="D21" s="57" t="s">
        <v>81</v>
      </c>
      <c r="E21" s="26"/>
      <c r="F21" s="66"/>
      <c r="H21" s="6">
        <f t="shared" si="2"/>
        <v>358815.0538640884</v>
      </c>
      <c r="I21" s="66"/>
      <c r="K21" s="6">
        <f>+E13*0.1+0.2*E15</f>
        <v>316007.141110935</v>
      </c>
      <c r="L21" s="66"/>
    </row>
    <row r="22" spans="1:12" ht="12.75">
      <c r="A22" s="5" t="s">
        <v>22</v>
      </c>
      <c r="B22" s="57"/>
      <c r="C22" s="57" t="s">
        <v>80</v>
      </c>
      <c r="D22" s="57" t="s">
        <v>82</v>
      </c>
      <c r="E22" s="26"/>
      <c r="F22" s="66"/>
      <c r="H22" s="6">
        <f t="shared" si="2"/>
        <v>392931.0046369061</v>
      </c>
      <c r="I22" s="66"/>
      <c r="K22" s="46">
        <f>+E13*0.1+0.15*E19</f>
        <v>290583.15231845307</v>
      </c>
      <c r="L22" s="66"/>
    </row>
    <row r="23" spans="1:12" ht="12.75">
      <c r="A23" s="5" t="s">
        <v>23</v>
      </c>
      <c r="B23" s="57" t="s">
        <v>83</v>
      </c>
      <c r="C23" s="57" t="s">
        <v>84</v>
      </c>
      <c r="D23" s="57" t="s">
        <v>85</v>
      </c>
      <c r="E23" s="26">
        <f>1540000*0.85/1.95583</f>
        <v>669281.07248585</v>
      </c>
      <c r="F23" s="66"/>
      <c r="H23" s="6">
        <f t="shared" si="2"/>
        <v>392931.0046369061</v>
      </c>
      <c r="I23" s="66"/>
      <c r="K23" s="6">
        <f>+E13*0.1+0.25*E19</f>
        <v>358815.0538640884</v>
      </c>
      <c r="L23" s="66"/>
    </row>
    <row r="24" spans="1:12" ht="12.75">
      <c r="A24" s="5" t="s">
        <v>24</v>
      </c>
      <c r="B24" s="57" t="s">
        <v>86</v>
      </c>
      <c r="C24" s="57" t="s">
        <v>87</v>
      </c>
      <c r="D24" s="58" t="s">
        <v>85</v>
      </c>
      <c r="E24" s="6">
        <f>2400000*0.85/1.95583</f>
        <v>1043035.4376402857</v>
      </c>
      <c r="F24" s="66"/>
      <c r="H24" s="6">
        <f t="shared" si="2"/>
        <v>238159.75826119859</v>
      </c>
      <c r="I24" s="66"/>
      <c r="K24" s="6">
        <f>+E13*0.1+0.3*E19</f>
        <v>392931.0046369061</v>
      </c>
      <c r="L24" s="66"/>
    </row>
    <row r="25" spans="1:12" ht="12.75">
      <c r="A25" s="5" t="s">
        <v>25</v>
      </c>
      <c r="B25" s="57"/>
      <c r="C25" s="57" t="s">
        <v>88</v>
      </c>
      <c r="D25" s="57" t="s">
        <v>89</v>
      </c>
      <c r="E25" s="6"/>
      <c r="F25" s="66"/>
      <c r="H25" s="6">
        <f t="shared" si="2"/>
        <v>305087.86550978356</v>
      </c>
      <c r="I25" s="66"/>
      <c r="K25" s="6">
        <f>+E13*0.1+0.3*E19</f>
        <v>392931.0046369061</v>
      </c>
      <c r="L25" s="66"/>
    </row>
    <row r="26" spans="1:12" ht="12.75">
      <c r="A26" s="5" t="s">
        <v>26</v>
      </c>
      <c r="B26" s="57"/>
      <c r="C26" s="57" t="s">
        <v>88</v>
      </c>
      <c r="D26" s="57" t="s">
        <v>90</v>
      </c>
      <c r="E26" s="6"/>
      <c r="F26" s="66"/>
      <c r="H26" s="6">
        <f t="shared" si="2"/>
        <v>305087.86550978356</v>
      </c>
      <c r="I26" s="66"/>
      <c r="K26" s="6">
        <f>E24*0.1+E23*0.2</f>
        <v>238159.75826119859</v>
      </c>
      <c r="L26" s="66"/>
    </row>
    <row r="27" spans="1:12" ht="12.75">
      <c r="A27" s="5" t="s">
        <v>27</v>
      </c>
      <c r="B27" s="57" t="s">
        <v>91</v>
      </c>
      <c r="C27" s="57" t="s">
        <v>92</v>
      </c>
      <c r="D27" s="57" t="s">
        <v>90</v>
      </c>
      <c r="E27" s="6">
        <f>1545000*0.85/1.95583</f>
        <v>671454.0629809339</v>
      </c>
      <c r="F27" s="66"/>
      <c r="H27" s="6">
        <f t="shared" si="2"/>
        <v>238159.75826119859</v>
      </c>
      <c r="I27" s="66"/>
      <c r="K27" s="6">
        <f>E24*0.1+E23*0.3</f>
        <v>305087.86550978356</v>
      </c>
      <c r="L27" s="66"/>
    </row>
    <row r="28" spans="1:12" ht="12.75">
      <c r="A28" s="5" t="s">
        <v>28</v>
      </c>
      <c r="B28" s="57"/>
      <c r="C28" s="57" t="s">
        <v>93</v>
      </c>
      <c r="D28" s="57" t="s">
        <v>89</v>
      </c>
      <c r="E28" s="6"/>
      <c r="F28" s="66"/>
      <c r="H28" s="6">
        <f t="shared" si="2"/>
        <v>238594.35636021537</v>
      </c>
      <c r="I28" s="66"/>
      <c r="K28" s="6">
        <f>E24*0.1+E23*0.3</f>
        <v>305087.86550978356</v>
      </c>
      <c r="L28" s="66"/>
    </row>
    <row r="29" spans="1:12" ht="12.75">
      <c r="A29" s="5" t="s">
        <v>29</v>
      </c>
      <c r="B29" s="57"/>
      <c r="C29" s="57" t="s">
        <v>94</v>
      </c>
      <c r="D29" s="57" t="s">
        <v>95</v>
      </c>
      <c r="E29" s="6"/>
      <c r="F29" s="66"/>
      <c r="H29" s="6">
        <f t="shared" si="2"/>
        <v>357891.534540323</v>
      </c>
      <c r="I29" s="66"/>
      <c r="K29" s="6">
        <f>E24*0.1+E23*0.2</f>
        <v>238159.75826119859</v>
      </c>
      <c r="L29" s="66"/>
    </row>
    <row r="30" spans="1:12" ht="12.75">
      <c r="A30" s="5" t="s">
        <v>30</v>
      </c>
      <c r="B30" s="57"/>
      <c r="C30" s="57" t="s">
        <v>94</v>
      </c>
      <c r="D30" s="57" t="s">
        <v>96</v>
      </c>
      <c r="E30" s="6"/>
      <c r="F30" s="66"/>
      <c r="H30" s="6">
        <f t="shared" si="2"/>
        <v>357891.534540323</v>
      </c>
      <c r="I30" s="66"/>
      <c r="K30" s="6">
        <f>E24*0.1+0.2*E27</f>
        <v>238594.35636021537</v>
      </c>
      <c r="L30" s="66"/>
    </row>
    <row r="31" spans="1:12" ht="12.75">
      <c r="A31" s="5" t="s">
        <v>31</v>
      </c>
      <c r="B31" s="57" t="s">
        <v>97</v>
      </c>
      <c r="C31" s="57" t="s">
        <v>98</v>
      </c>
      <c r="D31" s="57" t="s">
        <v>96</v>
      </c>
      <c r="E31" s="6">
        <f>5400000*0.85/1.95583</f>
        <v>2346829.734690643</v>
      </c>
      <c r="F31" s="66"/>
      <c r="H31" s="6">
        <f t="shared" si="2"/>
        <v>342897.9001242439</v>
      </c>
      <c r="I31" s="66"/>
      <c r="K31" s="6">
        <f>E24*0.15+0.3*E27</f>
        <v>357891.534540323</v>
      </c>
      <c r="L31" s="66"/>
    </row>
    <row r="32" spans="1:12" ht="12.75">
      <c r="A32" s="5" t="s">
        <v>32</v>
      </c>
      <c r="B32" s="57"/>
      <c r="C32" s="57" t="s">
        <v>99</v>
      </c>
      <c r="D32" s="57" t="s">
        <v>100</v>
      </c>
      <c r="E32" s="6"/>
      <c r="F32" s="66"/>
      <c r="G32" s="6"/>
      <c r="H32" s="6">
        <f t="shared" si="2"/>
        <v>234682.9734690643</v>
      </c>
      <c r="I32" s="66"/>
      <c r="K32" s="6">
        <f>E24*0.15+0.3*E27</f>
        <v>357891.534540323</v>
      </c>
      <c r="L32" s="66"/>
    </row>
    <row r="33" spans="1:12" ht="12.75">
      <c r="A33" s="5" t="s">
        <v>33</v>
      </c>
      <c r="B33" s="57"/>
      <c r="C33" s="57" t="s">
        <v>101</v>
      </c>
      <c r="D33" s="58"/>
      <c r="E33" s="6"/>
      <c r="F33" s="66"/>
      <c r="G33" s="6"/>
      <c r="H33" s="6">
        <f t="shared" si="2"/>
        <v>234682.9734690643</v>
      </c>
      <c r="I33" s="66"/>
      <c r="K33" s="6">
        <f>E24*0.2+0.2*E27</f>
        <v>342897.9001242439</v>
      </c>
      <c r="L33" s="66"/>
    </row>
    <row r="34" spans="1:12" ht="12.75">
      <c r="A34" s="5" t="s">
        <v>34</v>
      </c>
      <c r="B34" s="57"/>
      <c r="C34" s="57" t="s">
        <v>101</v>
      </c>
      <c r="D34" s="58"/>
      <c r="E34" s="6"/>
      <c r="F34" s="66"/>
      <c r="G34" s="6"/>
      <c r="H34" s="6">
        <f t="shared" si="2"/>
        <v>234682.9734690643</v>
      </c>
      <c r="I34" s="66"/>
      <c r="K34" s="6">
        <f>E31*0.1</f>
        <v>234682.9734690643</v>
      </c>
      <c r="L34" s="66"/>
    </row>
    <row r="35" spans="1:12" ht="12.75">
      <c r="A35" s="5" t="s">
        <v>35</v>
      </c>
      <c r="B35" s="57"/>
      <c r="C35" s="57" t="s">
        <v>101</v>
      </c>
      <c r="D35" s="58"/>
      <c r="E35" s="6"/>
      <c r="F35" s="66"/>
      <c r="G35" s="6"/>
      <c r="H35" s="6">
        <f t="shared" si="2"/>
        <v>215541.9734690643</v>
      </c>
      <c r="I35" s="66"/>
      <c r="J35" s="6"/>
      <c r="K35" s="6">
        <f>E31*0.1</f>
        <v>234682.9734690643</v>
      </c>
      <c r="L35" s="66"/>
    </row>
    <row r="36" spans="1:12" ht="12.75">
      <c r="A36" s="5" t="s">
        <v>36</v>
      </c>
      <c r="B36" s="57"/>
      <c r="C36" s="57" t="s">
        <v>101</v>
      </c>
      <c r="D36" s="58"/>
      <c r="E36" s="6"/>
      <c r="F36" s="66"/>
      <c r="G36" s="6"/>
      <c r="H36" s="26"/>
      <c r="I36" s="66"/>
      <c r="J36" s="6"/>
      <c r="K36" s="6">
        <f>E31*0.1</f>
        <v>234682.9734690643</v>
      </c>
      <c r="L36" s="66"/>
    </row>
    <row r="37" spans="1:12" ht="12.75">
      <c r="A37" s="5" t="s">
        <v>37</v>
      </c>
      <c r="B37" s="57"/>
      <c r="C37" s="57" t="s">
        <v>101</v>
      </c>
      <c r="D37" s="58"/>
      <c r="E37" s="6"/>
      <c r="F37" s="66"/>
      <c r="G37" s="6"/>
      <c r="H37" s="26"/>
      <c r="I37" s="66"/>
      <c r="J37" s="6"/>
      <c r="K37" s="14">
        <f>E31*0.1-19141</f>
        <v>215541.9734690643</v>
      </c>
      <c r="L37" s="66"/>
    </row>
    <row r="38" spans="1:13" ht="12.75">
      <c r="A38" s="5" t="s">
        <v>38</v>
      </c>
      <c r="B38" s="57"/>
      <c r="C38" s="57" t="s">
        <v>102</v>
      </c>
      <c r="D38" s="58"/>
      <c r="E38" s="6"/>
      <c r="F38" s="66"/>
      <c r="G38" s="6"/>
      <c r="H38" s="26"/>
      <c r="I38" s="66"/>
      <c r="J38" s="6"/>
      <c r="K38" s="6"/>
      <c r="L38" s="66"/>
      <c r="M38" s="6"/>
    </row>
    <row r="39" spans="1:13" ht="12.75">
      <c r="A39" s="5" t="s">
        <v>39</v>
      </c>
      <c r="B39" s="57"/>
      <c r="C39" s="57" t="s">
        <v>102</v>
      </c>
      <c r="D39" s="58"/>
      <c r="E39" s="6"/>
      <c r="F39" s="66"/>
      <c r="G39" s="6"/>
      <c r="H39" s="26"/>
      <c r="I39" s="66"/>
      <c r="J39" s="6"/>
      <c r="K39" s="6"/>
      <c r="L39" s="66"/>
      <c r="M39" s="6"/>
    </row>
    <row r="40" spans="1:13" ht="12.75">
      <c r="A40" s="5" t="s">
        <v>40</v>
      </c>
      <c r="B40" s="57"/>
      <c r="C40" s="58"/>
      <c r="D40" s="58" t="s">
        <v>97</v>
      </c>
      <c r="E40" s="6"/>
      <c r="F40" s="66"/>
      <c r="G40" s="6"/>
      <c r="H40" s="26"/>
      <c r="I40" s="66"/>
      <c r="J40" s="6"/>
      <c r="K40" s="6"/>
      <c r="L40" s="66"/>
      <c r="M40" s="6"/>
    </row>
    <row r="41" spans="1:13" ht="12.75">
      <c r="A41" s="5" t="s">
        <v>41</v>
      </c>
      <c r="B41" s="57"/>
      <c r="C41" s="58" t="s">
        <v>103</v>
      </c>
      <c r="D41" s="58"/>
      <c r="E41" s="6"/>
      <c r="F41" s="66"/>
      <c r="G41" s="6"/>
      <c r="H41" s="26"/>
      <c r="I41" s="66"/>
      <c r="J41" s="6"/>
      <c r="K41" s="6"/>
      <c r="L41" s="66"/>
      <c r="M41" s="6"/>
    </row>
    <row r="42" spans="1:13" ht="12.75">
      <c r="A42" s="5" t="s">
        <v>42</v>
      </c>
      <c r="B42" s="57"/>
      <c r="C42" s="58"/>
      <c r="D42" s="58"/>
      <c r="E42" s="6"/>
      <c r="F42" s="66"/>
      <c r="G42" s="6"/>
      <c r="H42" s="26"/>
      <c r="I42" s="66"/>
      <c r="J42" s="6"/>
      <c r="K42" s="6"/>
      <c r="L42" s="66"/>
      <c r="M42" s="6"/>
    </row>
    <row r="43" spans="1:13" ht="12.75">
      <c r="A43" s="5" t="s">
        <v>43</v>
      </c>
      <c r="B43" s="57"/>
      <c r="C43" s="58"/>
      <c r="D43" s="58"/>
      <c r="F43" s="58"/>
      <c r="G43" s="6"/>
      <c r="H43" s="6"/>
      <c r="I43" s="6"/>
      <c r="J43" s="6"/>
      <c r="K43" s="6"/>
      <c r="L43" s="68"/>
      <c r="M43" s="6"/>
    </row>
    <row r="44" spans="1:13" ht="12.75">
      <c r="A44" s="5"/>
      <c r="B44" s="6"/>
      <c r="E44" s="67"/>
      <c r="G44" s="6"/>
      <c r="H44" s="6"/>
      <c r="I44" s="6"/>
      <c r="J44" s="6"/>
      <c r="K44" s="6"/>
      <c r="L44" s="6"/>
      <c r="M44" s="6"/>
    </row>
    <row r="45" spans="11:13" ht="12.75">
      <c r="K45" s="6"/>
      <c r="L45" s="6"/>
      <c r="M45" s="6"/>
    </row>
    <row r="48" ht="12.75">
      <c r="A48" t="s">
        <v>58</v>
      </c>
    </row>
    <row r="50" spans="1:13" ht="38.25">
      <c r="A50" s="4" t="s">
        <v>4</v>
      </c>
      <c r="B50" s="4" t="s">
        <v>5</v>
      </c>
      <c r="C50" s="4" t="s">
        <v>6</v>
      </c>
      <c r="D50" s="4" t="s">
        <v>7</v>
      </c>
      <c r="E50" s="12" t="s">
        <v>137</v>
      </c>
      <c r="F50" s="12" t="s">
        <v>139</v>
      </c>
      <c r="G50" s="12" t="s">
        <v>138</v>
      </c>
      <c r="H50" s="12" t="s">
        <v>141</v>
      </c>
      <c r="I50" s="12" t="s">
        <v>142</v>
      </c>
      <c r="J50" s="12" t="s">
        <v>147</v>
      </c>
      <c r="K50" s="12" t="s">
        <v>145</v>
      </c>
      <c r="L50" s="12" t="s">
        <v>146</v>
      </c>
      <c r="M50" s="12" t="s">
        <v>144</v>
      </c>
    </row>
    <row r="51" spans="1:13" ht="12.75">
      <c r="A51" s="5" t="s">
        <v>8</v>
      </c>
      <c r="B51">
        <v>0</v>
      </c>
      <c r="C51" s="6">
        <v>0</v>
      </c>
      <c r="D51" s="6">
        <v>0</v>
      </c>
      <c r="E51" s="6"/>
      <c r="F51" s="6"/>
      <c r="G51" s="6">
        <f>G8</f>
        <v>0</v>
      </c>
      <c r="H51" s="6"/>
      <c r="I51" s="6"/>
      <c r="J51" s="6">
        <f>J8</f>
        <v>0</v>
      </c>
      <c r="K51" s="6"/>
      <c r="L51" s="6"/>
      <c r="M51" s="6">
        <f>M8</f>
        <v>0</v>
      </c>
    </row>
    <row r="52" spans="1:13" ht="12.75">
      <c r="A52" s="5" t="s">
        <v>9</v>
      </c>
      <c r="B52">
        <v>0</v>
      </c>
      <c r="C52" s="6">
        <v>0</v>
      </c>
      <c r="D52" s="6">
        <v>0</v>
      </c>
      <c r="E52" s="6"/>
      <c r="F52" s="6"/>
      <c r="G52" s="6">
        <f>G51+G9</f>
        <v>0</v>
      </c>
      <c r="H52" s="6"/>
      <c r="I52" s="6"/>
      <c r="J52" s="6">
        <f>J51+J9</f>
        <v>0</v>
      </c>
      <c r="K52" s="6"/>
      <c r="L52" s="6"/>
      <c r="M52" s="6">
        <f aca="true" t="shared" si="3" ref="M52:M57">M51+M9</f>
        <v>0</v>
      </c>
    </row>
    <row r="53" spans="1:13" ht="12.75">
      <c r="A53" s="5" t="s">
        <v>10</v>
      </c>
      <c r="B53">
        <v>0</v>
      </c>
      <c r="C53" s="6">
        <v>0</v>
      </c>
      <c r="D53" s="6">
        <v>0</v>
      </c>
      <c r="E53" s="6"/>
      <c r="F53" s="6"/>
      <c r="G53" s="6">
        <f>G52+G10</f>
        <v>0</v>
      </c>
      <c r="H53" s="6"/>
      <c r="I53" s="6"/>
      <c r="J53" s="6">
        <f>J52+J10</f>
        <v>0</v>
      </c>
      <c r="K53" s="6"/>
      <c r="L53" s="6"/>
      <c r="M53" s="6">
        <f t="shared" si="3"/>
        <v>0</v>
      </c>
    </row>
    <row r="54" spans="1:13" ht="12.75">
      <c r="A54" s="5" t="s">
        <v>11</v>
      </c>
      <c r="B54" s="6"/>
      <c r="C54" s="6"/>
      <c r="D54" s="6"/>
      <c r="E54" s="6"/>
      <c r="F54" s="6"/>
      <c r="G54" s="6">
        <f>G53+G11</f>
        <v>0</v>
      </c>
      <c r="H54" s="6"/>
      <c r="I54" s="6"/>
      <c r="J54" s="6">
        <f>J53+J11</f>
        <v>0</v>
      </c>
      <c r="K54" s="6"/>
      <c r="L54" s="6"/>
      <c r="M54" s="6">
        <f t="shared" si="3"/>
        <v>0</v>
      </c>
    </row>
    <row r="55" spans="1:13" ht="12.75">
      <c r="A55" s="5" t="s">
        <v>12</v>
      </c>
      <c r="B55" s="6"/>
      <c r="C55" s="6"/>
      <c r="D55" s="6"/>
      <c r="E55" s="6">
        <f>E54+E12</f>
        <v>595215.5606571123</v>
      </c>
      <c r="F55" s="6">
        <f>F54+D12</f>
        <v>0</v>
      </c>
      <c r="G55" s="6"/>
      <c r="H55" s="6">
        <f>H54+H12</f>
        <v>0</v>
      </c>
      <c r="I55" s="6"/>
      <c r="J55" s="6">
        <f>J54+J12</f>
        <v>0</v>
      </c>
      <c r="K55" s="6"/>
      <c r="L55" s="6"/>
      <c r="M55" s="6">
        <f t="shared" si="3"/>
        <v>0</v>
      </c>
    </row>
    <row r="56" spans="1:13" ht="12.75">
      <c r="A56" s="5" t="s">
        <v>13</v>
      </c>
      <c r="B56" s="6"/>
      <c r="C56" s="6"/>
      <c r="D56" s="6"/>
      <c r="E56" s="6">
        <f aca="true" t="shared" si="4" ref="E56:E86">E55+E13</f>
        <v>2477568.5606571124</v>
      </c>
      <c r="F56" s="6"/>
      <c r="G56" s="6"/>
      <c r="H56" s="6">
        <f aca="true" t="shared" si="5" ref="H56:H86">H55+H13</f>
        <v>0</v>
      </c>
      <c r="I56" s="6"/>
      <c r="J56" s="6">
        <f>J55+J13</f>
        <v>0</v>
      </c>
      <c r="K56" s="6"/>
      <c r="L56" s="6"/>
      <c r="M56" s="6">
        <f t="shared" si="3"/>
        <v>0</v>
      </c>
    </row>
    <row r="57" spans="1:13" ht="12.75">
      <c r="A57" s="5" t="s">
        <v>14</v>
      </c>
      <c r="B57" s="6"/>
      <c r="C57" s="6"/>
      <c r="D57" s="6"/>
      <c r="E57" s="6">
        <f t="shared" si="4"/>
        <v>2477568.5606571124</v>
      </c>
      <c r="F57" s="6"/>
      <c r="G57" s="6"/>
      <c r="H57" s="6">
        <f t="shared" si="5"/>
        <v>36679.99681971337</v>
      </c>
      <c r="I57" s="6"/>
      <c r="J57" s="6"/>
      <c r="K57" s="6">
        <f aca="true" t="shared" si="6" ref="K57:K86">K56+K14</f>
        <v>0</v>
      </c>
      <c r="L57" s="6"/>
      <c r="M57" s="6">
        <f t="shared" si="3"/>
        <v>0</v>
      </c>
    </row>
    <row r="58" spans="1:13" ht="12.75">
      <c r="A58" s="5" t="s">
        <v>15</v>
      </c>
      <c r="B58" s="6"/>
      <c r="C58" s="6"/>
      <c r="D58" s="6"/>
      <c r="E58" s="6">
        <f t="shared" si="4"/>
        <v>3116427.7662117872</v>
      </c>
      <c r="F58" s="6"/>
      <c r="G58" s="6"/>
      <c r="H58" s="6">
        <f t="shared" si="5"/>
        <v>366799.9681971337</v>
      </c>
      <c r="I58" s="6"/>
      <c r="J58" s="6"/>
      <c r="K58" s="6">
        <f t="shared" si="6"/>
        <v>0</v>
      </c>
      <c r="L58" s="6"/>
      <c r="M58" s="6"/>
    </row>
    <row r="59" spans="1:13" ht="12.75">
      <c r="A59" s="5" t="s">
        <v>16</v>
      </c>
      <c r="B59" s="6"/>
      <c r="C59" s="6"/>
      <c r="D59" s="6"/>
      <c r="E59" s="6">
        <f t="shared" si="4"/>
        <v>3116427.7662117872</v>
      </c>
      <c r="F59" s="6"/>
      <c r="G59" s="6"/>
      <c r="H59" s="6">
        <f t="shared" si="5"/>
        <v>1045242.7130154462</v>
      </c>
      <c r="I59" s="6"/>
      <c r="J59" s="6"/>
      <c r="K59" s="6">
        <f t="shared" si="6"/>
        <v>0</v>
      </c>
      <c r="L59" s="6"/>
      <c r="M59" s="6"/>
    </row>
    <row r="60" spans="1:13" ht="12.75">
      <c r="A60" s="5" t="s">
        <v>17</v>
      </c>
      <c r="B60" s="6"/>
      <c r="C60" s="6"/>
      <c r="D60" s="6"/>
      <c r="E60" s="6">
        <f t="shared" si="4"/>
        <v>3116427.7662117872</v>
      </c>
      <c r="F60" s="6"/>
      <c r="G60" s="6"/>
      <c r="H60" s="6">
        <f t="shared" si="5"/>
        <v>1667586.3634344498</v>
      </c>
      <c r="I60" s="6"/>
      <c r="J60" s="6"/>
      <c r="K60" s="6">
        <f t="shared" si="6"/>
        <v>366799.9681971337</v>
      </c>
      <c r="L60" s="6"/>
      <c r="M60" s="6"/>
    </row>
    <row r="61" spans="1:13" ht="12.75">
      <c r="A61" s="5" t="s">
        <v>18</v>
      </c>
      <c r="B61" s="6"/>
      <c r="C61" s="6"/>
      <c r="D61" s="6"/>
      <c r="E61" s="6">
        <f t="shared" si="4"/>
        <v>3116427.7662117872</v>
      </c>
      <c r="F61" s="6"/>
      <c r="G61" s="6"/>
      <c r="H61" s="6">
        <f t="shared" si="5"/>
        <v>2047479.4251008523</v>
      </c>
      <c r="I61" s="6"/>
      <c r="J61" s="6"/>
      <c r="K61" s="6">
        <f t="shared" si="6"/>
        <v>1045242.7130154462</v>
      </c>
      <c r="L61" s="6"/>
      <c r="M61" s="6"/>
    </row>
    <row r="62" spans="1:13" ht="12.75">
      <c r="A62" s="5" t="s">
        <v>19</v>
      </c>
      <c r="B62" s="6"/>
      <c r="C62" s="6"/>
      <c r="D62" s="6"/>
      <c r="E62" s="6">
        <f t="shared" si="4"/>
        <v>3798746.7816681406</v>
      </c>
      <c r="F62" s="6"/>
      <c r="G62" s="6"/>
      <c r="H62" s="6">
        <f t="shared" si="5"/>
        <v>2363486.566211787</v>
      </c>
      <c r="I62" s="6"/>
      <c r="J62" s="6"/>
      <c r="K62" s="6">
        <f t="shared" si="6"/>
        <v>1667586.3634344498</v>
      </c>
      <c r="L62" s="6"/>
      <c r="M62" s="6"/>
    </row>
    <row r="63" spans="1:13" ht="12.75">
      <c r="A63" s="5" t="s">
        <v>20</v>
      </c>
      <c r="B63" s="6"/>
      <c r="C63" s="6"/>
      <c r="D63" s="6"/>
      <c r="E63" s="6">
        <f t="shared" si="4"/>
        <v>3798746.7816681406</v>
      </c>
      <c r="F63" s="6"/>
      <c r="G63" s="6"/>
      <c r="H63" s="6">
        <f t="shared" si="5"/>
        <v>2654069.71853024</v>
      </c>
      <c r="I63" s="6"/>
      <c r="J63" s="6"/>
      <c r="K63" s="6">
        <f t="shared" si="6"/>
        <v>2047479.4251008523</v>
      </c>
      <c r="L63" s="6"/>
      <c r="M63" s="6"/>
    </row>
    <row r="64" spans="1:13" ht="12.75">
      <c r="A64" s="5" t="s">
        <v>21</v>
      </c>
      <c r="B64" s="6"/>
      <c r="C64" s="6"/>
      <c r="D64" s="6"/>
      <c r="E64" s="6">
        <f t="shared" si="4"/>
        <v>3798746.7816681406</v>
      </c>
      <c r="F64" s="6"/>
      <c r="G64" s="6"/>
      <c r="H64" s="6">
        <f t="shared" si="5"/>
        <v>3012884.7723943284</v>
      </c>
      <c r="I64" s="6"/>
      <c r="J64" s="6"/>
      <c r="K64" s="6">
        <f t="shared" si="6"/>
        <v>2363486.566211787</v>
      </c>
      <c r="L64" s="6"/>
      <c r="M64" s="6"/>
    </row>
    <row r="65" spans="1:13" ht="12.75">
      <c r="A65" s="5" t="s">
        <v>22</v>
      </c>
      <c r="B65" s="6"/>
      <c r="C65" s="6"/>
      <c r="D65" s="6"/>
      <c r="E65" s="6">
        <f t="shared" si="4"/>
        <v>3798746.7816681406</v>
      </c>
      <c r="F65" s="6"/>
      <c r="G65" s="6"/>
      <c r="H65" s="6">
        <f t="shared" si="5"/>
        <v>3405815.7770312345</v>
      </c>
      <c r="I65" s="6"/>
      <c r="J65" s="6"/>
      <c r="K65" s="6">
        <f t="shared" si="6"/>
        <v>2654069.71853024</v>
      </c>
      <c r="L65" s="6"/>
      <c r="M65" s="6"/>
    </row>
    <row r="66" spans="1:13" ht="12.75">
      <c r="A66" s="5" t="s">
        <v>23</v>
      </c>
      <c r="B66" s="6"/>
      <c r="C66" s="6"/>
      <c r="D66" s="6"/>
      <c r="E66" s="6">
        <f t="shared" si="4"/>
        <v>4468027.854153991</v>
      </c>
      <c r="F66" s="6"/>
      <c r="G66" s="6"/>
      <c r="H66" s="6">
        <f t="shared" si="5"/>
        <v>3798746.7816681406</v>
      </c>
      <c r="I66" s="6"/>
      <c r="J66" s="6"/>
      <c r="K66" s="6">
        <f t="shared" si="6"/>
        <v>3012884.7723943284</v>
      </c>
      <c r="L66" s="6"/>
      <c r="M66" s="6"/>
    </row>
    <row r="67" spans="1:13" ht="12.75">
      <c r="A67" s="5" t="s">
        <v>24</v>
      </c>
      <c r="B67" s="6"/>
      <c r="C67" s="6"/>
      <c r="D67" s="6"/>
      <c r="E67" s="6">
        <f t="shared" si="4"/>
        <v>5511063.291794277</v>
      </c>
      <c r="F67" s="6"/>
      <c r="G67" s="6"/>
      <c r="H67" s="6">
        <f t="shared" si="5"/>
        <v>4036906.539929339</v>
      </c>
      <c r="I67" s="6"/>
      <c r="J67" s="6"/>
      <c r="K67" s="6">
        <f t="shared" si="6"/>
        <v>3405815.7770312345</v>
      </c>
      <c r="L67" s="6"/>
      <c r="M67" s="6"/>
    </row>
    <row r="68" spans="1:13" ht="12.75">
      <c r="A68" s="5" t="s">
        <v>25</v>
      </c>
      <c r="B68" s="6"/>
      <c r="C68" s="6"/>
      <c r="D68" s="6"/>
      <c r="E68" s="6">
        <f t="shared" si="4"/>
        <v>5511063.291794277</v>
      </c>
      <c r="F68" s="6"/>
      <c r="G68" s="6"/>
      <c r="H68" s="6">
        <f t="shared" si="5"/>
        <v>4341994.405439123</v>
      </c>
      <c r="I68" s="6"/>
      <c r="J68" s="6"/>
      <c r="K68" s="6">
        <f t="shared" si="6"/>
        <v>3798746.7816681406</v>
      </c>
      <c r="L68" s="6"/>
      <c r="M68" s="6"/>
    </row>
    <row r="69" spans="1:13" ht="12.75">
      <c r="A69" s="5" t="s">
        <v>26</v>
      </c>
      <c r="B69" s="6"/>
      <c r="C69" s="6"/>
      <c r="D69" s="6"/>
      <c r="E69" s="6">
        <f t="shared" si="4"/>
        <v>5511063.291794277</v>
      </c>
      <c r="F69" s="6"/>
      <c r="G69" s="6"/>
      <c r="H69" s="6">
        <f t="shared" si="5"/>
        <v>4647082.270948906</v>
      </c>
      <c r="I69" s="6"/>
      <c r="J69" s="6"/>
      <c r="K69" s="6">
        <f t="shared" si="6"/>
        <v>4036906.539929339</v>
      </c>
      <c r="L69" s="6"/>
      <c r="M69" s="6"/>
    </row>
    <row r="70" spans="1:13" ht="12.75">
      <c r="A70" s="5" t="s">
        <v>27</v>
      </c>
      <c r="B70" s="6"/>
      <c r="C70" s="6"/>
      <c r="D70" s="6"/>
      <c r="E70" s="6">
        <f t="shared" si="4"/>
        <v>6182517.354775211</v>
      </c>
      <c r="F70" s="6"/>
      <c r="G70" s="6"/>
      <c r="H70" s="6">
        <f t="shared" si="5"/>
        <v>4885242.029210105</v>
      </c>
      <c r="I70" s="6"/>
      <c r="J70" s="6"/>
      <c r="K70" s="6">
        <f t="shared" si="6"/>
        <v>4341994.405439123</v>
      </c>
      <c r="L70" s="6"/>
      <c r="M70" s="6"/>
    </row>
    <row r="71" spans="1:13" ht="12.75">
      <c r="A71" s="5" t="s">
        <v>28</v>
      </c>
      <c r="E71" s="6">
        <f t="shared" si="4"/>
        <v>6182517.354775211</v>
      </c>
      <c r="G71" s="6"/>
      <c r="H71" s="6">
        <f t="shared" si="5"/>
        <v>5123836.38557032</v>
      </c>
      <c r="I71" s="6"/>
      <c r="J71" s="6"/>
      <c r="K71" s="6">
        <f t="shared" si="6"/>
        <v>4647082.270948906</v>
      </c>
      <c r="L71" s="6"/>
      <c r="M71" s="6"/>
    </row>
    <row r="72" spans="1:13" ht="12.75">
      <c r="A72" s="5" t="s">
        <v>29</v>
      </c>
      <c r="E72" s="6">
        <f t="shared" si="4"/>
        <v>6182517.354775211</v>
      </c>
      <c r="G72" s="6"/>
      <c r="H72" s="6">
        <f t="shared" si="5"/>
        <v>5481727.920110643</v>
      </c>
      <c r="I72" s="6"/>
      <c r="J72" s="6"/>
      <c r="K72" s="6">
        <f t="shared" si="6"/>
        <v>4885242.029210105</v>
      </c>
      <c r="L72" s="6"/>
      <c r="M72" s="6"/>
    </row>
    <row r="73" spans="1:13" ht="12.75">
      <c r="A73" s="5" t="s">
        <v>30</v>
      </c>
      <c r="E73" s="6">
        <f t="shared" si="4"/>
        <v>6182517.354775211</v>
      </c>
      <c r="G73" s="6"/>
      <c r="H73" s="6">
        <f t="shared" si="5"/>
        <v>5839619.4546509655</v>
      </c>
      <c r="I73" s="6"/>
      <c r="J73" s="6"/>
      <c r="K73" s="6">
        <f t="shared" si="6"/>
        <v>5123836.38557032</v>
      </c>
      <c r="L73" s="6"/>
      <c r="M73" s="6"/>
    </row>
    <row r="74" spans="1:13" ht="12.75">
      <c r="A74" s="5" t="s">
        <v>31</v>
      </c>
      <c r="E74" s="6">
        <f t="shared" si="4"/>
        <v>8529347.089465853</v>
      </c>
      <c r="G74" s="6"/>
      <c r="H74" s="6">
        <f t="shared" si="5"/>
        <v>6182517.354775209</v>
      </c>
      <c r="I74" s="6"/>
      <c r="J74" s="6"/>
      <c r="K74" s="6">
        <f t="shared" si="6"/>
        <v>5481727.920110643</v>
      </c>
      <c r="L74" s="6"/>
      <c r="M74" s="6"/>
    </row>
    <row r="75" spans="1:13" ht="12.75">
      <c r="A75" s="5" t="s">
        <v>32</v>
      </c>
      <c r="E75" s="6">
        <f t="shared" si="4"/>
        <v>8529347.089465853</v>
      </c>
      <c r="G75" s="6"/>
      <c r="H75" s="6">
        <f t="shared" si="5"/>
        <v>6417200.328244274</v>
      </c>
      <c r="I75" s="6"/>
      <c r="J75" s="6"/>
      <c r="K75" s="6">
        <f t="shared" si="6"/>
        <v>5839619.4546509655</v>
      </c>
      <c r="L75" s="6"/>
      <c r="M75" s="6"/>
    </row>
    <row r="76" spans="1:13" ht="12.75">
      <c r="A76" s="5" t="s">
        <v>33</v>
      </c>
      <c r="E76" s="6">
        <f t="shared" si="4"/>
        <v>8529347.089465853</v>
      </c>
      <c r="G76" s="6"/>
      <c r="H76" s="6">
        <f t="shared" si="5"/>
        <v>6651883.301713338</v>
      </c>
      <c r="I76" s="6"/>
      <c r="J76" s="6"/>
      <c r="K76" s="6">
        <f t="shared" si="6"/>
        <v>6182517.354775209</v>
      </c>
      <c r="L76" s="6"/>
      <c r="M76" s="6"/>
    </row>
    <row r="77" spans="1:13" ht="12.75">
      <c r="A77" s="5" t="s">
        <v>34</v>
      </c>
      <c r="E77" s="6">
        <f t="shared" si="4"/>
        <v>8529347.089465853</v>
      </c>
      <c r="G77" s="6"/>
      <c r="H77" s="6">
        <f t="shared" si="5"/>
        <v>6886566.275182403</v>
      </c>
      <c r="I77" s="6"/>
      <c r="J77" s="6"/>
      <c r="K77" s="6">
        <f t="shared" si="6"/>
        <v>6417200.328244274</v>
      </c>
      <c r="L77" s="6"/>
      <c r="M77" s="6"/>
    </row>
    <row r="78" spans="1:13" ht="12.75">
      <c r="A78" s="5" t="s">
        <v>35</v>
      </c>
      <c r="E78" s="6">
        <f t="shared" si="4"/>
        <v>8529347.089465853</v>
      </c>
      <c r="G78" s="6"/>
      <c r="H78" s="6">
        <f t="shared" si="5"/>
        <v>7102108.248651467</v>
      </c>
      <c r="I78" s="6"/>
      <c r="J78" s="6"/>
      <c r="K78" s="6">
        <f t="shared" si="6"/>
        <v>6651883.301713338</v>
      </c>
      <c r="L78" s="6"/>
      <c r="M78" s="6"/>
    </row>
    <row r="79" spans="1:13" ht="12.75">
      <c r="A79" s="5" t="s">
        <v>36</v>
      </c>
      <c r="E79" s="6">
        <f t="shared" si="4"/>
        <v>8529347.089465853</v>
      </c>
      <c r="G79" s="6"/>
      <c r="H79" s="6">
        <f t="shared" si="5"/>
        <v>7102108.248651467</v>
      </c>
      <c r="I79" s="6"/>
      <c r="J79" s="6"/>
      <c r="K79" s="6">
        <f t="shared" si="6"/>
        <v>6886566.275182403</v>
      </c>
      <c r="L79" s="6"/>
      <c r="M79" s="6"/>
    </row>
    <row r="80" spans="1:13" ht="12.75">
      <c r="A80" s="5" t="s">
        <v>37</v>
      </c>
      <c r="E80" s="6">
        <f t="shared" si="4"/>
        <v>8529347.089465853</v>
      </c>
      <c r="G80" s="6"/>
      <c r="H80" s="6">
        <f t="shared" si="5"/>
        <v>7102108.248651467</v>
      </c>
      <c r="I80" s="6"/>
      <c r="J80" s="6"/>
      <c r="K80" s="6">
        <f t="shared" si="6"/>
        <v>7102108.248651467</v>
      </c>
      <c r="L80" s="6"/>
      <c r="M80" s="6"/>
    </row>
    <row r="81" spans="1:13" ht="12.75">
      <c r="A81" s="5" t="s">
        <v>38</v>
      </c>
      <c r="E81" s="6">
        <f t="shared" si="4"/>
        <v>8529347.089465853</v>
      </c>
      <c r="G81" s="6"/>
      <c r="H81" s="6">
        <f t="shared" si="5"/>
        <v>7102108.248651467</v>
      </c>
      <c r="I81" s="6"/>
      <c r="J81" s="6"/>
      <c r="K81" s="6">
        <f t="shared" si="6"/>
        <v>7102108.248651467</v>
      </c>
      <c r="L81" s="6"/>
      <c r="M81" s="6"/>
    </row>
    <row r="82" spans="1:13" ht="12.75">
      <c r="A82" s="5" t="s">
        <v>39</v>
      </c>
      <c r="E82" s="6">
        <f t="shared" si="4"/>
        <v>8529347.089465853</v>
      </c>
      <c r="G82" s="6"/>
      <c r="H82" s="6">
        <f t="shared" si="5"/>
        <v>7102108.248651467</v>
      </c>
      <c r="I82" s="6"/>
      <c r="J82" s="6"/>
      <c r="K82" s="6">
        <f t="shared" si="6"/>
        <v>7102108.248651467</v>
      </c>
      <c r="L82" s="6"/>
      <c r="M82" s="6"/>
    </row>
    <row r="83" spans="1:13" ht="12.75">
      <c r="A83" s="5" t="s">
        <v>40</v>
      </c>
      <c r="E83" s="6">
        <f t="shared" si="4"/>
        <v>8529347.089465853</v>
      </c>
      <c r="G83" s="6"/>
      <c r="H83" s="6">
        <f t="shared" si="5"/>
        <v>7102108.248651467</v>
      </c>
      <c r="I83" s="6"/>
      <c r="J83" s="6"/>
      <c r="K83" s="6">
        <f t="shared" si="6"/>
        <v>7102108.248651467</v>
      </c>
      <c r="L83" s="6"/>
      <c r="M83" s="6"/>
    </row>
    <row r="84" spans="1:13" ht="12.75">
      <c r="A84" s="5" t="s">
        <v>41</v>
      </c>
      <c r="E84" s="6">
        <f t="shared" si="4"/>
        <v>8529347.089465853</v>
      </c>
      <c r="G84" s="6"/>
      <c r="H84" s="6">
        <f t="shared" si="5"/>
        <v>7102108.248651467</v>
      </c>
      <c r="I84" s="6"/>
      <c r="J84" s="6"/>
      <c r="K84" s="6">
        <f t="shared" si="6"/>
        <v>7102108.248651467</v>
      </c>
      <c r="L84" s="6"/>
      <c r="M84" s="6"/>
    </row>
    <row r="85" spans="1:13" ht="12.75">
      <c r="A85" s="5" t="s">
        <v>42</v>
      </c>
      <c r="E85" s="6">
        <f t="shared" si="4"/>
        <v>8529347.089465853</v>
      </c>
      <c r="G85" s="6"/>
      <c r="H85" s="6">
        <f t="shared" si="5"/>
        <v>7102108.248651467</v>
      </c>
      <c r="I85" s="6"/>
      <c r="J85" s="6"/>
      <c r="K85" s="6">
        <f t="shared" si="6"/>
        <v>7102108.248651467</v>
      </c>
      <c r="L85" s="6"/>
      <c r="M85" s="6"/>
    </row>
    <row r="86" spans="1:13" ht="12.75">
      <c r="A86" s="5" t="s">
        <v>43</v>
      </c>
      <c r="E86" s="6">
        <f t="shared" si="4"/>
        <v>8529347.089465853</v>
      </c>
      <c r="G86" s="6"/>
      <c r="H86" s="6">
        <f t="shared" si="5"/>
        <v>7102108.248651467</v>
      </c>
      <c r="I86" s="6"/>
      <c r="J86" s="6"/>
      <c r="K86" s="6">
        <f t="shared" si="6"/>
        <v>7102108.248651467</v>
      </c>
      <c r="L86" s="6"/>
      <c r="M86" s="6"/>
    </row>
    <row r="87" spans="10:13" ht="12.75">
      <c r="J87" s="6"/>
      <c r="K87" s="6"/>
      <c r="M87" s="6"/>
    </row>
    <row r="88" ht="12.75">
      <c r="M88" s="66"/>
    </row>
    <row r="89" ht="12.75">
      <c r="M89" s="66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58"/>
  <sheetViews>
    <sheetView view="pageBreakPreview" zoomScaleNormal="85" zoomScaleSheetLayoutView="100" workbookViewId="0" topLeftCell="A31">
      <selection activeCell="H17" sqref="H17"/>
    </sheetView>
  </sheetViews>
  <sheetFormatPr defaultColWidth="9.140625" defaultRowHeight="12.75"/>
  <cols>
    <col min="1" max="1" width="20.28125" style="0" customWidth="1"/>
    <col min="2" max="2" width="13.00390625" style="0" bestFit="1" customWidth="1"/>
    <col min="3" max="3" width="15.421875" style="0" customWidth="1"/>
    <col min="4" max="4" width="15.00390625" style="0" customWidth="1"/>
    <col min="5" max="6" width="15.28125" style="0" customWidth="1"/>
    <col min="7" max="7" width="11.421875" style="0" bestFit="1" customWidth="1"/>
    <col min="8" max="8" width="11.421875" style="0" customWidth="1"/>
    <col min="9" max="9" width="13.7109375" style="0" customWidth="1"/>
    <col min="10" max="10" width="12.8515625" style="0" customWidth="1"/>
    <col min="11" max="12" width="13.28125" style="0" customWidth="1"/>
    <col min="13" max="13" width="13.00390625" style="0" bestFit="1" customWidth="1"/>
    <col min="14" max="14" width="15.140625" style="0" customWidth="1"/>
    <col min="15" max="15" width="13.421875" style="0" bestFit="1" customWidth="1"/>
  </cols>
  <sheetData>
    <row r="2" spans="1:15" ht="50.25" customHeight="1">
      <c r="A2" s="139" t="s">
        <v>111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75"/>
      <c r="O2" s="76"/>
    </row>
    <row r="3" ht="15.75">
      <c r="A3" s="25"/>
    </row>
    <row r="4" spans="1:12" ht="15.75">
      <c r="A4" s="25" t="s">
        <v>118</v>
      </c>
      <c r="G4" s="25" t="s">
        <v>114</v>
      </c>
      <c r="K4" s="25"/>
      <c r="L4" s="25"/>
    </row>
    <row r="5" spans="1:12" ht="15.75">
      <c r="A5" t="s">
        <v>126</v>
      </c>
      <c r="B5" s="26">
        <f>H12</f>
        <v>2693650</v>
      </c>
      <c r="J5" s="25"/>
      <c r="K5" s="25"/>
      <c r="L5" s="25"/>
    </row>
    <row r="6" spans="1:2" ht="12.75">
      <c r="A6" t="s">
        <v>157</v>
      </c>
      <c r="B6" s="26">
        <f>'Priority Axis 1'!B6</f>
        <v>1750000.0000000002</v>
      </c>
    </row>
    <row r="7" spans="1:12" ht="12.75">
      <c r="A7" s="137" t="s">
        <v>0</v>
      </c>
      <c r="B7" s="138"/>
      <c r="C7" s="138"/>
      <c r="D7" s="71"/>
      <c r="E7" s="70"/>
      <c r="F7" s="70"/>
      <c r="G7" s="92" t="s">
        <v>55</v>
      </c>
      <c r="H7" s="92"/>
      <c r="I7" s="92"/>
      <c r="J7" s="107"/>
      <c r="K7" s="125"/>
      <c r="L7" s="16"/>
    </row>
    <row r="8" spans="1:12" ht="82.5" customHeight="1">
      <c r="A8" s="86" t="s">
        <v>1</v>
      </c>
      <c r="B8" s="85" t="s">
        <v>179</v>
      </c>
      <c r="C8" s="85" t="s">
        <v>128</v>
      </c>
      <c r="D8" s="85" t="s">
        <v>133</v>
      </c>
      <c r="E8" s="16"/>
      <c r="F8" s="16"/>
      <c r="G8" s="92"/>
      <c r="H8" s="93" t="s">
        <v>56</v>
      </c>
      <c r="I8" s="93" t="s">
        <v>149</v>
      </c>
      <c r="J8" s="93" t="s">
        <v>45</v>
      </c>
      <c r="K8" s="12"/>
      <c r="L8" s="126"/>
    </row>
    <row r="9" spans="1:12" ht="15.75">
      <c r="A9" s="21"/>
      <c r="B9" s="22"/>
      <c r="C9" s="27"/>
      <c r="D9" s="30"/>
      <c r="E9" s="16"/>
      <c r="F9" s="16"/>
      <c r="G9" s="109" t="s">
        <v>104</v>
      </c>
      <c r="H9" s="110">
        <f>7365000*0.85</f>
        <v>6260250</v>
      </c>
      <c r="I9" s="111">
        <f>H9/$H$14</f>
        <v>0.25040999749590004</v>
      </c>
      <c r="J9" s="110">
        <f>I9*$B$6</f>
        <v>438217.49561782513</v>
      </c>
      <c r="K9" s="127"/>
      <c r="L9" s="126"/>
    </row>
    <row r="10" spans="1:12" ht="12.75">
      <c r="A10" s="2">
        <v>2007</v>
      </c>
      <c r="B10" s="23">
        <v>3512400</v>
      </c>
      <c r="C10" s="28">
        <f aca="true" t="shared" si="0" ref="C10:C16">B10/$B$17</f>
        <v>0.07272574730188078</v>
      </c>
      <c r="D10" s="9">
        <f aca="true" t="shared" si="1" ref="D10:D16">C10*$B$5</f>
        <v>195897.70921971116</v>
      </c>
      <c r="E10" s="16"/>
      <c r="F10" s="16"/>
      <c r="G10" s="109" t="s">
        <v>105</v>
      </c>
      <c r="H10" s="100">
        <f>8461000*0.85</f>
        <v>7191850</v>
      </c>
      <c r="I10" s="101">
        <f>H10/$H$14</f>
        <v>0.28767399712326003</v>
      </c>
      <c r="J10" s="102">
        <f>I10*$B$6</f>
        <v>503429.4949657051</v>
      </c>
      <c r="K10" s="112"/>
      <c r="L10" s="126"/>
    </row>
    <row r="11" spans="1:12" ht="12.75">
      <c r="A11" s="2">
        <v>2008</v>
      </c>
      <c r="B11" s="23">
        <v>5141700</v>
      </c>
      <c r="C11" s="28">
        <f t="shared" si="0"/>
        <v>0.10646110206755506</v>
      </c>
      <c r="D11" s="9">
        <f t="shared" si="1"/>
        <v>286768.9475842697</v>
      </c>
      <c r="E11" s="16"/>
      <c r="F11" s="16"/>
      <c r="G11" s="109" t="s">
        <v>106</v>
      </c>
      <c r="H11" s="110">
        <f>8342000*0.85</f>
        <v>7090700</v>
      </c>
      <c r="I11" s="111">
        <f>H11/$H$14</f>
        <v>0.28362799716372</v>
      </c>
      <c r="J11" s="102">
        <f>I11*$B$6</f>
        <v>496348.99503651005</v>
      </c>
      <c r="K11" s="112"/>
      <c r="L11" s="126"/>
    </row>
    <row r="12" spans="1:12" ht="12.75">
      <c r="A12" s="2">
        <v>2009</v>
      </c>
      <c r="B12" s="23">
        <v>7001019</v>
      </c>
      <c r="C12" s="28">
        <f t="shared" si="0"/>
        <v>0.1449590988069884</v>
      </c>
      <c r="D12" s="9">
        <f t="shared" si="1"/>
        <v>390469.07650144433</v>
      </c>
      <c r="E12" s="16"/>
      <c r="F12" s="16"/>
      <c r="G12" s="106" t="s">
        <v>107</v>
      </c>
      <c r="H12" s="107">
        <f>0.85*3169000</f>
        <v>2693650</v>
      </c>
      <c r="I12" s="108">
        <f>H12/$H$14</f>
        <v>0.10774599892254001</v>
      </c>
      <c r="J12" s="107">
        <f>I12*$B$6</f>
        <v>188555.49811444504</v>
      </c>
      <c r="K12" s="121"/>
      <c r="L12" s="126"/>
    </row>
    <row r="13" spans="1:12" ht="12.75">
      <c r="A13" s="2">
        <v>2010</v>
      </c>
      <c r="B13" s="23">
        <v>7377256</v>
      </c>
      <c r="C13" s="28">
        <f t="shared" si="0"/>
        <v>0.1527492471350882</v>
      </c>
      <c r="D13" s="9">
        <f t="shared" si="1"/>
        <v>411453.0095454303</v>
      </c>
      <c r="E13" s="16"/>
      <c r="F13" s="16"/>
      <c r="G13" s="92" t="s">
        <v>108</v>
      </c>
      <c r="H13" s="100">
        <f>0.85*2074765</f>
        <v>1763550.25</v>
      </c>
      <c r="I13" s="101">
        <f>H13/$H$14</f>
        <v>0.0705420092945799</v>
      </c>
      <c r="J13" s="102">
        <f>I13*$B$6</f>
        <v>123448.51626551485</v>
      </c>
      <c r="K13" s="112"/>
      <c r="L13" s="126"/>
    </row>
    <row r="14" spans="1:12" ht="12.75">
      <c r="A14" s="2">
        <v>2011</v>
      </c>
      <c r="B14" s="23">
        <v>7898065</v>
      </c>
      <c r="C14" s="28">
        <f t="shared" si="0"/>
        <v>0.16353282068210598</v>
      </c>
      <c r="D14" s="9">
        <f t="shared" si="1"/>
        <v>440500.18243035476</v>
      </c>
      <c r="E14" s="16"/>
      <c r="F14" s="16"/>
      <c r="G14" s="92" t="s">
        <v>46</v>
      </c>
      <c r="H14" s="100">
        <f>SUM(H9:H13)</f>
        <v>25000000.25</v>
      </c>
      <c r="I14" s="92"/>
      <c r="J14" s="102">
        <f>SUM(J9:J13)</f>
        <v>1750000</v>
      </c>
      <c r="K14" s="112"/>
      <c r="L14" s="126"/>
    </row>
    <row r="15" spans="1:6" ht="12.75">
      <c r="A15" s="2">
        <v>2012</v>
      </c>
      <c r="B15" s="23">
        <v>8421780</v>
      </c>
      <c r="C15" s="28">
        <f t="shared" si="0"/>
        <v>0.17437656420454206</v>
      </c>
      <c r="D15" s="9">
        <f t="shared" si="1"/>
        <v>469709.4321695647</v>
      </c>
      <c r="E15" s="16"/>
      <c r="F15" s="16"/>
    </row>
    <row r="16" spans="1:6" ht="12.75">
      <c r="A16" s="2">
        <v>2013</v>
      </c>
      <c r="B16" s="23">
        <v>8944293</v>
      </c>
      <c r="C16" s="28">
        <f t="shared" si="0"/>
        <v>0.1851954198018395</v>
      </c>
      <c r="D16" s="9">
        <f t="shared" si="1"/>
        <v>498851.642549225</v>
      </c>
      <c r="E16" s="16"/>
      <c r="F16" s="16"/>
    </row>
    <row r="17" spans="1:6" ht="12.75">
      <c r="A17" s="3" t="s">
        <v>3</v>
      </c>
      <c r="B17" s="24">
        <f>SUM(B10:B16)</f>
        <v>48296513</v>
      </c>
      <c r="C17" s="29"/>
      <c r="D17" s="10">
        <f>SUM(D10:D16)</f>
        <v>2693650</v>
      </c>
      <c r="E17" s="16"/>
      <c r="F17" s="16"/>
    </row>
    <row r="20" ht="15.75">
      <c r="A20" s="25" t="s">
        <v>153</v>
      </c>
    </row>
    <row r="21" spans="1:13" ht="51">
      <c r="A21" s="77" t="s">
        <v>4</v>
      </c>
      <c r="B21" s="78" t="s">
        <v>5</v>
      </c>
      <c r="C21" s="78" t="s">
        <v>6</v>
      </c>
      <c r="D21" s="78" t="s">
        <v>7</v>
      </c>
      <c r="E21" s="119" t="s">
        <v>182</v>
      </c>
      <c r="F21" s="119" t="s">
        <v>139</v>
      </c>
      <c r="G21" s="119" t="s">
        <v>138</v>
      </c>
      <c r="H21" s="119" t="s">
        <v>141</v>
      </c>
      <c r="I21" s="119" t="s">
        <v>142</v>
      </c>
      <c r="J21" s="119" t="s">
        <v>147</v>
      </c>
      <c r="K21" s="119" t="s">
        <v>145</v>
      </c>
      <c r="L21" s="119" t="s">
        <v>146</v>
      </c>
      <c r="M21" s="119" t="s">
        <v>144</v>
      </c>
    </row>
    <row r="22" spans="1:13" ht="12.75">
      <c r="A22" s="71"/>
      <c r="B22" s="79"/>
      <c r="C22" s="79"/>
      <c r="D22" s="79"/>
      <c r="E22" s="80"/>
      <c r="F22" s="80"/>
      <c r="G22" s="81"/>
      <c r="H22" s="81"/>
      <c r="I22" s="81"/>
      <c r="J22" s="81"/>
      <c r="K22" s="81"/>
      <c r="L22" s="81"/>
      <c r="M22" s="81"/>
    </row>
    <row r="23" spans="1:13" ht="12.75">
      <c r="A23" s="82" t="s">
        <v>8</v>
      </c>
      <c r="B23" s="83">
        <v>0</v>
      </c>
      <c r="C23" s="83">
        <v>0</v>
      </c>
      <c r="D23" s="83">
        <v>0</v>
      </c>
      <c r="E23" s="80">
        <v>0</v>
      </c>
      <c r="F23" s="80"/>
      <c r="G23" s="81">
        <f>'[1]Call AA'!E51</f>
        <v>0</v>
      </c>
      <c r="H23" s="81">
        <v>0</v>
      </c>
      <c r="I23" s="81"/>
      <c r="J23" s="81">
        <f>'[1]Call AA'!F51</f>
        <v>0</v>
      </c>
      <c r="K23" s="81">
        <v>0</v>
      </c>
      <c r="L23" s="81"/>
      <c r="M23" s="81">
        <f>'[1]Call AA'!G51</f>
        <v>0</v>
      </c>
    </row>
    <row r="24" spans="1:13" ht="12.75">
      <c r="A24" s="82" t="s">
        <v>9</v>
      </c>
      <c r="B24" s="83">
        <v>0</v>
      </c>
      <c r="C24" s="83">
        <v>0</v>
      </c>
      <c r="D24" s="83">
        <v>0</v>
      </c>
      <c r="E24" s="80">
        <v>0</v>
      </c>
      <c r="F24" s="80"/>
      <c r="G24" s="81">
        <f>'[1]Call AA'!E52</f>
        <v>0</v>
      </c>
      <c r="H24" s="81">
        <v>0</v>
      </c>
      <c r="I24" s="81"/>
      <c r="J24" s="81">
        <f>'[1]Call AA'!F52</f>
        <v>0</v>
      </c>
      <c r="K24" s="81">
        <v>0</v>
      </c>
      <c r="L24" s="81"/>
      <c r="M24" s="81">
        <f>'[1]Call AA'!G52</f>
        <v>0</v>
      </c>
    </row>
    <row r="25" spans="1:13" ht="12.75">
      <c r="A25" s="82" t="s">
        <v>10</v>
      </c>
      <c r="B25" s="83">
        <v>0</v>
      </c>
      <c r="C25" s="83">
        <v>0</v>
      </c>
      <c r="D25" s="83">
        <v>0</v>
      </c>
      <c r="E25" s="80">
        <v>0</v>
      </c>
      <c r="F25" s="80"/>
      <c r="G25" s="81">
        <f>'[1]Call AA'!E53</f>
        <v>0</v>
      </c>
      <c r="H25" s="81">
        <v>0</v>
      </c>
      <c r="I25" s="81"/>
      <c r="J25" s="81">
        <f>'[1]Call AA'!F53</f>
        <v>0</v>
      </c>
      <c r="K25" s="81">
        <v>0</v>
      </c>
      <c r="L25" s="81"/>
      <c r="M25" s="81">
        <f>'[1]Call AA'!G53</f>
        <v>0</v>
      </c>
    </row>
    <row r="26" spans="1:13" ht="12.75">
      <c r="A26" s="82" t="s">
        <v>11</v>
      </c>
      <c r="B26" s="83">
        <f>D10</f>
        <v>195897.70921971116</v>
      </c>
      <c r="C26" s="83">
        <v>0</v>
      </c>
      <c r="D26" s="83">
        <v>0</v>
      </c>
      <c r="E26" s="80">
        <v>0</v>
      </c>
      <c r="F26" s="80"/>
      <c r="G26" s="81">
        <f>'[1]Call AA'!E54</f>
        <v>0</v>
      </c>
      <c r="H26" s="81">
        <v>0</v>
      </c>
      <c r="I26" s="81"/>
      <c r="J26" s="81">
        <f>'[1]Call AA'!F54</f>
        <v>0</v>
      </c>
      <c r="K26" s="81">
        <v>0</v>
      </c>
      <c r="L26" s="81"/>
      <c r="M26" s="81">
        <f>'[1]Call AA'!G54</f>
        <v>0</v>
      </c>
    </row>
    <row r="27" spans="1:13" ht="12.75">
      <c r="A27" s="82" t="s">
        <v>12</v>
      </c>
      <c r="B27" s="83">
        <f>B26+D11</f>
        <v>482666.6568039808</v>
      </c>
      <c r="C27" s="83">
        <v>0</v>
      </c>
      <c r="D27" s="83">
        <v>0</v>
      </c>
      <c r="E27" s="84">
        <f>'Call MA'!E55</f>
        <v>331772.18878941424</v>
      </c>
      <c r="F27" s="84"/>
      <c r="G27" s="81">
        <f>'Call MA'!G55</f>
        <v>0</v>
      </c>
      <c r="H27" s="81">
        <v>0</v>
      </c>
      <c r="I27" s="81"/>
      <c r="J27" s="81">
        <f>'Call MA'!J55</f>
        <v>0</v>
      </c>
      <c r="K27" s="81">
        <v>0</v>
      </c>
      <c r="L27" s="81"/>
      <c r="M27" s="81">
        <f>'Call MA'!M55</f>
        <v>0</v>
      </c>
    </row>
    <row r="28" spans="1:13" ht="12.75">
      <c r="A28" s="82" t="s">
        <v>13</v>
      </c>
      <c r="B28" s="83">
        <f>B27</f>
        <v>482666.6568039808</v>
      </c>
      <c r="C28" s="83">
        <v>0</v>
      </c>
      <c r="D28" s="83">
        <v>0</v>
      </c>
      <c r="E28" s="84">
        <f>'Call MA'!E56</f>
        <v>623865.1887894142</v>
      </c>
      <c r="F28" s="84"/>
      <c r="G28" s="81">
        <f>'Call MA'!G56</f>
        <v>0</v>
      </c>
      <c r="H28" s="81">
        <f>'Call MA'!H56</f>
        <v>0</v>
      </c>
      <c r="I28" s="81"/>
      <c r="J28" s="81">
        <f>'Call MA'!J56</f>
        <v>0</v>
      </c>
      <c r="K28" s="81">
        <v>0</v>
      </c>
      <c r="L28" s="81"/>
      <c r="M28" s="81">
        <f>'Call MA'!M56</f>
        <v>0</v>
      </c>
    </row>
    <row r="29" spans="1:13" ht="12.75">
      <c r="A29" s="82" t="s">
        <v>14</v>
      </c>
      <c r="B29" s="83">
        <f>B28</f>
        <v>482666.6568039808</v>
      </c>
      <c r="C29" s="83">
        <v>0</v>
      </c>
      <c r="D29" s="83">
        <v>0</v>
      </c>
      <c r="E29" s="84">
        <f>'Call MA'!E57</f>
        <v>623865.1887894142</v>
      </c>
      <c r="F29" s="84"/>
      <c r="G29" s="81">
        <f>'Call MA'!G57</f>
        <v>0</v>
      </c>
      <c r="H29" s="81">
        <f>'Call MA'!H57</f>
        <v>61719.63765472971</v>
      </c>
      <c r="I29" s="81"/>
      <c r="J29" s="81">
        <f>'Call MA'!J57</f>
        <v>0</v>
      </c>
      <c r="K29" s="81">
        <f>'Call MA'!K57</f>
        <v>0</v>
      </c>
      <c r="L29" s="81"/>
      <c r="M29" s="81">
        <f>'Call MA'!M57</f>
        <v>0</v>
      </c>
    </row>
    <row r="30" spans="1:13" ht="12.75">
      <c r="A30" s="82" t="s">
        <v>15</v>
      </c>
      <c r="B30" s="83">
        <f>B29</f>
        <v>482666.6568039808</v>
      </c>
      <c r="C30" s="83">
        <v>0</v>
      </c>
      <c r="D30" s="83">
        <v>0</v>
      </c>
      <c r="E30" s="84">
        <f>'Call MA'!E58</f>
        <v>623865.1887894142</v>
      </c>
      <c r="F30" s="84"/>
      <c r="G30" s="81">
        <f>'Call MA'!G58</f>
        <v>0</v>
      </c>
      <c r="H30" s="81">
        <f>'Call MA'!H58</f>
        <v>205732.1255157657</v>
      </c>
      <c r="I30" s="81"/>
      <c r="J30" s="81">
        <f>'Call MA'!J58</f>
        <v>0</v>
      </c>
      <c r="K30" s="81">
        <f>'Call MA'!K58</f>
        <v>0</v>
      </c>
      <c r="L30" s="81"/>
      <c r="M30" s="81">
        <f>'Call MA'!M58</f>
        <v>0</v>
      </c>
    </row>
    <row r="31" spans="1:13" ht="12.75">
      <c r="A31" s="82" t="s">
        <v>16</v>
      </c>
      <c r="B31" s="83">
        <f>B30+D12</f>
        <v>873135.7333054252</v>
      </c>
      <c r="C31" s="83">
        <v>0</v>
      </c>
      <c r="D31" s="83">
        <v>0</v>
      </c>
      <c r="E31" s="84">
        <f>'Call MA'!E59</f>
        <v>1015003.4779045214</v>
      </c>
      <c r="F31" s="84"/>
      <c r="G31" s="81">
        <f>'Call MA'!G59</f>
        <v>0</v>
      </c>
      <c r="H31" s="81">
        <f>'Call MA'!H59</f>
        <v>411464.2510315314</v>
      </c>
      <c r="I31" s="81"/>
      <c r="J31" s="81">
        <f>'Call MA'!J59</f>
        <v>0</v>
      </c>
      <c r="K31" s="81">
        <f>'Call MA'!K59</f>
        <v>0</v>
      </c>
      <c r="L31" s="81"/>
      <c r="M31" s="81">
        <f>'Call MA'!M59</f>
        <v>0</v>
      </c>
    </row>
    <row r="32" spans="1:13" ht="12.75">
      <c r="A32" s="82" t="s">
        <v>17</v>
      </c>
      <c r="B32" s="83">
        <f>B31</f>
        <v>873135.7333054252</v>
      </c>
      <c r="C32" s="83">
        <v>0</v>
      </c>
      <c r="D32" s="83">
        <v>0</v>
      </c>
      <c r="E32" s="84">
        <f>'Call MA'!E60</f>
        <v>1015003.4779045214</v>
      </c>
      <c r="F32" s="84"/>
      <c r="G32" s="81">
        <f>'Call MA'!G60</f>
        <v>0</v>
      </c>
      <c r="H32" s="81">
        <f>'Call MA'!H60</f>
        <v>553444.142700925</v>
      </c>
      <c r="I32" s="81"/>
      <c r="J32" s="81">
        <f>'Call MA'!J60</f>
        <v>0</v>
      </c>
      <c r="K32" s="81">
        <f>'Call MA'!K60</f>
        <v>205732.1255157657</v>
      </c>
      <c r="L32" s="81"/>
      <c r="M32" s="81">
        <f>'Call MA'!M60</f>
        <v>0</v>
      </c>
    </row>
    <row r="33" spans="1:13" ht="12.75">
      <c r="A33" s="82" t="s">
        <v>18</v>
      </c>
      <c r="B33" s="83">
        <f>B32</f>
        <v>873135.7333054252</v>
      </c>
      <c r="C33" s="83">
        <v>0</v>
      </c>
      <c r="D33" s="83">
        <v>0</v>
      </c>
      <c r="E33" s="84">
        <f>'Call MA'!E61</f>
        <v>1036733.3828553606</v>
      </c>
      <c r="F33" s="84"/>
      <c r="G33" s="81">
        <f>'Call MA'!G61</f>
        <v>0</v>
      </c>
      <c r="H33" s="81">
        <f>'Call MA'!H61</f>
        <v>629069.5966124358</v>
      </c>
      <c r="I33" s="81"/>
      <c r="J33" s="81">
        <f>'Call MA'!J61</f>
        <v>0</v>
      </c>
      <c r="K33" s="81">
        <f>'Call MA'!K61</f>
        <v>411464.2510315314</v>
      </c>
      <c r="L33" s="81"/>
      <c r="M33" s="81">
        <f>'Call MA'!M61</f>
        <v>0</v>
      </c>
    </row>
    <row r="34" spans="1:13" ht="12.75">
      <c r="A34" s="82" t="s">
        <v>19</v>
      </c>
      <c r="B34" s="83">
        <f>B33</f>
        <v>873135.7333054252</v>
      </c>
      <c r="C34" s="83">
        <v>0</v>
      </c>
      <c r="D34" s="83">
        <v>0</v>
      </c>
      <c r="E34" s="84">
        <f>'Call MA'!E62</f>
        <v>1036733.3828553606</v>
      </c>
      <c r="F34" s="84"/>
      <c r="G34" s="81">
        <f>'Call MA'!G62</f>
        <v>0</v>
      </c>
      <c r="H34" s="81">
        <f>'Call MA'!H62</f>
        <v>704695.0505239465</v>
      </c>
      <c r="I34" s="81"/>
      <c r="J34" s="81">
        <f>'Call MA'!J62</f>
        <v>0</v>
      </c>
      <c r="K34" s="81">
        <f>'Call MA'!K62</f>
        <v>553444.142700925</v>
      </c>
      <c r="L34" s="81"/>
      <c r="M34" s="81">
        <f>'Call MA'!M62</f>
        <v>0</v>
      </c>
    </row>
    <row r="35" spans="1:13" ht="12.75">
      <c r="A35" s="82" t="s">
        <v>20</v>
      </c>
      <c r="B35" s="83">
        <f>B34+D13</f>
        <v>1284588.7428508555</v>
      </c>
      <c r="C35" s="83">
        <v>0</v>
      </c>
      <c r="D35" s="83">
        <v>0</v>
      </c>
      <c r="E35" s="84">
        <f>'Call MA'!E63</f>
        <v>1167112.8125603963</v>
      </c>
      <c r="F35" s="84"/>
      <c r="G35" s="81">
        <f>'Call MA'!G63</f>
        <v>0</v>
      </c>
      <c r="H35" s="81">
        <f>'Call MA'!H63</f>
        <v>780320.5044354573</v>
      </c>
      <c r="I35" s="81"/>
      <c r="J35" s="81">
        <f>'Call MA'!J63</f>
        <v>0</v>
      </c>
      <c r="K35" s="81">
        <f>'Call MA'!K63</f>
        <v>629069.5966124358</v>
      </c>
      <c r="L35" s="81"/>
      <c r="M35" s="81">
        <f>'Call MA'!M63</f>
        <v>0</v>
      </c>
    </row>
    <row r="36" spans="1:13" ht="12.75">
      <c r="A36" s="82" t="s">
        <v>21</v>
      </c>
      <c r="B36" s="83">
        <f>B35</f>
        <v>1284588.7428508555</v>
      </c>
      <c r="C36" s="83">
        <v>0</v>
      </c>
      <c r="D36" s="83">
        <v>0</v>
      </c>
      <c r="E36" s="84">
        <f>'Call MA'!E64</f>
        <v>1167112.8125603963</v>
      </c>
      <c r="F36" s="84"/>
      <c r="G36" s="81">
        <f>'Call MA'!G64</f>
        <v>0</v>
      </c>
      <c r="H36" s="81">
        <f>'Call MA'!H64</f>
        <v>854202.1812683109</v>
      </c>
      <c r="I36" s="81"/>
      <c r="J36" s="81">
        <f>'Call MA'!J64</f>
        <v>0</v>
      </c>
      <c r="K36" s="81">
        <f>'Call MA'!K64</f>
        <v>704695.0505239465</v>
      </c>
      <c r="L36" s="81"/>
      <c r="M36" s="81">
        <f>'Call MA'!M64</f>
        <v>0</v>
      </c>
    </row>
    <row r="37" spans="1:13" ht="12.75">
      <c r="A37" s="82" t="s">
        <v>22</v>
      </c>
      <c r="B37" s="83">
        <f>B36</f>
        <v>1284588.7428508555</v>
      </c>
      <c r="C37" s="83">
        <v>0</v>
      </c>
      <c r="D37" s="83">
        <v>0</v>
      </c>
      <c r="E37" s="84">
        <f>'Call MA'!E65</f>
        <v>1275762.3373145927</v>
      </c>
      <c r="F37" s="84"/>
      <c r="G37" s="81">
        <f>'Call MA'!G65</f>
        <v>0</v>
      </c>
      <c r="H37" s="81">
        <f>'Call MA'!H65</f>
        <v>906353.9531503252</v>
      </c>
      <c r="I37" s="81"/>
      <c r="J37" s="81">
        <f>'Call MA'!J65</f>
        <v>0</v>
      </c>
      <c r="K37" s="81">
        <f>'Call MA'!K65</f>
        <v>780320.5044354573</v>
      </c>
      <c r="L37" s="81"/>
      <c r="M37" s="81">
        <f>'Call MA'!M65</f>
        <v>0</v>
      </c>
    </row>
    <row r="38" spans="1:13" ht="12.75">
      <c r="A38" s="82" t="s">
        <v>23</v>
      </c>
      <c r="B38" s="83">
        <f>B37</f>
        <v>1284588.7428508555</v>
      </c>
      <c r="C38" s="83">
        <f>B26</f>
        <v>195897.70921971116</v>
      </c>
      <c r="D38" s="83">
        <f>C38-J12</f>
        <v>7342.21110526612</v>
      </c>
      <c r="E38" s="84">
        <f>'Call MA'!E66</f>
        <v>1275762.3373145927</v>
      </c>
      <c r="F38" s="84"/>
      <c r="G38" s="81">
        <f>'Call MA'!G66</f>
        <v>0</v>
      </c>
      <c r="H38" s="81">
        <f>'Call MA'!H66</f>
        <v>997619.5539438502</v>
      </c>
      <c r="I38" s="81"/>
      <c r="J38" s="81">
        <f>'Call MA'!J66</f>
        <v>0</v>
      </c>
      <c r="K38" s="81">
        <f>'Call MA'!K66</f>
        <v>854202.1812683109</v>
      </c>
      <c r="L38" s="81"/>
      <c r="M38" s="81">
        <f>'Call MA'!M66</f>
        <v>0</v>
      </c>
    </row>
    <row r="39" spans="1:13" ht="12.75">
      <c r="A39" s="82" t="s">
        <v>24</v>
      </c>
      <c r="B39" s="83">
        <f>B38+D14</f>
        <v>1725088.9252812103</v>
      </c>
      <c r="C39" s="83">
        <f>C38</f>
        <v>195897.70921971116</v>
      </c>
      <c r="D39" s="83">
        <f>C39-J12</f>
        <v>7342.21110526612</v>
      </c>
      <c r="E39" s="84">
        <f>'Call MA'!E67</f>
        <v>1623440.8165280214</v>
      </c>
      <c r="F39" s="84"/>
      <c r="G39" s="81">
        <f>'Call MA'!G67</f>
        <v>0</v>
      </c>
      <c r="H39" s="81">
        <f>'Call MA'!H67</f>
        <v>1088885.1547373752</v>
      </c>
      <c r="I39" s="81"/>
      <c r="J39" s="81">
        <f>'Call MA'!J67</f>
        <v>0</v>
      </c>
      <c r="K39" s="81">
        <f>'Call MA'!K67</f>
        <v>906353.9531503252</v>
      </c>
      <c r="L39" s="81"/>
      <c r="M39" s="81">
        <f>'Call MA'!M67</f>
        <v>0</v>
      </c>
    </row>
    <row r="40" spans="1:13" ht="12.75">
      <c r="A40" s="82" t="s">
        <v>25</v>
      </c>
      <c r="B40" s="83">
        <f>B39</f>
        <v>1725088.9252812103</v>
      </c>
      <c r="C40" s="83">
        <f>C39</f>
        <v>195897.70921971116</v>
      </c>
      <c r="D40" s="83">
        <f>C40-J12</f>
        <v>7342.21110526612</v>
      </c>
      <c r="E40" s="84">
        <f>'Call MA'!E68</f>
        <v>1623440.8165280214</v>
      </c>
      <c r="F40" s="84"/>
      <c r="G40" s="81">
        <f>'Call MA'!G68</f>
        <v>0</v>
      </c>
      <c r="H40" s="81">
        <f>'Call MA'!H68</f>
        <v>1262724.3943440896</v>
      </c>
      <c r="I40" s="81"/>
      <c r="J40" s="81">
        <f>'Call MA'!J68</f>
        <v>0</v>
      </c>
      <c r="K40" s="81">
        <f>'Call MA'!K68</f>
        <v>997619.5539438502</v>
      </c>
      <c r="L40" s="81"/>
      <c r="M40" s="81">
        <f>'Call MA'!M68</f>
        <v>0</v>
      </c>
    </row>
    <row r="41" spans="1:13" ht="12.75">
      <c r="A41" s="82" t="s">
        <v>26</v>
      </c>
      <c r="B41" s="83">
        <f>B40</f>
        <v>1725088.9252812103</v>
      </c>
      <c r="C41" s="83">
        <f>C40</f>
        <v>195897.70921971116</v>
      </c>
      <c r="D41" s="83">
        <f>C41-J12</f>
        <v>7342.21110526612</v>
      </c>
      <c r="E41" s="84">
        <f>'Call MA'!E69</f>
        <v>1775550.1511838962</v>
      </c>
      <c r="F41" s="84"/>
      <c r="G41" s="81">
        <f>'Call MA'!G69</f>
        <v>0</v>
      </c>
      <c r="H41" s="81">
        <f>'Call MA'!H69</f>
        <v>1327914.1091966075</v>
      </c>
      <c r="I41" s="81"/>
      <c r="J41" s="81">
        <f>'Call MA'!J69</f>
        <v>0</v>
      </c>
      <c r="K41" s="81">
        <f>'Call MA'!K69</f>
        <v>1088885.1547373752</v>
      </c>
      <c r="L41" s="81"/>
      <c r="M41" s="81">
        <f>'Call MA'!M69</f>
        <v>0</v>
      </c>
    </row>
    <row r="42" spans="1:13" ht="12.75">
      <c r="A42" s="82" t="s">
        <v>27</v>
      </c>
      <c r="B42" s="83">
        <f>B41</f>
        <v>1725088.9252812103</v>
      </c>
      <c r="C42" s="83">
        <f>B27</f>
        <v>482666.6568039808</v>
      </c>
      <c r="D42" s="83">
        <f>C42-J12</f>
        <v>294111.1586895358</v>
      </c>
      <c r="E42" s="84">
        <f>'Call MA'!E70</f>
        <v>1775550.1511838962</v>
      </c>
      <c r="F42" s="84"/>
      <c r="G42" s="81">
        <f>'Call MA'!G70</f>
        <v>0</v>
      </c>
      <c r="H42" s="81">
        <f>'Call MA'!H70</f>
        <v>1386584.8525638736</v>
      </c>
      <c r="I42" s="81"/>
      <c r="J42" s="81">
        <f>'Call MA'!J70</f>
        <v>0</v>
      </c>
      <c r="K42" s="81">
        <f>'Call MA'!K70</f>
        <v>1262724.3943440896</v>
      </c>
      <c r="L42" s="81"/>
      <c r="M42" s="81">
        <f>'Call MA'!M70</f>
        <v>0</v>
      </c>
    </row>
    <row r="43" spans="1:13" ht="12.75">
      <c r="A43" s="82" t="s">
        <v>28</v>
      </c>
      <c r="B43" s="83">
        <f>B42+D15</f>
        <v>2194798.357450775</v>
      </c>
      <c r="C43" s="83">
        <f>C42</f>
        <v>482666.6568039808</v>
      </c>
      <c r="D43" s="83">
        <f>C43-J12</f>
        <v>294111.1586895358</v>
      </c>
      <c r="E43" s="84">
        <f>'Call MA'!E71</f>
        <v>1775550.1511838962</v>
      </c>
      <c r="F43" s="84"/>
      <c r="G43" s="81">
        <f>'Call MA'!G71</f>
        <v>0</v>
      </c>
      <c r="H43" s="81">
        <f>'Call MA'!H71</f>
        <v>1445255.5959311398</v>
      </c>
      <c r="I43" s="81"/>
      <c r="J43" s="81">
        <f>'Call MA'!J71</f>
        <v>0</v>
      </c>
      <c r="K43" s="81">
        <f>'Call MA'!K71</f>
        <v>1327914.1091966075</v>
      </c>
      <c r="L43" s="81"/>
      <c r="M43" s="81">
        <f>'Call MA'!M71</f>
        <v>0</v>
      </c>
    </row>
    <row r="44" spans="1:13" ht="12.75">
      <c r="A44" s="82" t="s">
        <v>29</v>
      </c>
      <c r="B44" s="83">
        <f>B43</f>
        <v>2194798.357450775</v>
      </c>
      <c r="C44" s="83">
        <f>C43</f>
        <v>482666.6568039808</v>
      </c>
      <c r="D44" s="83">
        <f>C44-J12</f>
        <v>294111.1586895358</v>
      </c>
      <c r="E44" s="84">
        <f>'Call MA'!E72</f>
        <v>2188418.345249843</v>
      </c>
      <c r="F44" s="84"/>
      <c r="G44" s="81">
        <f>'Call MA'!G72</f>
        <v>0</v>
      </c>
      <c r="H44" s="81">
        <f>'Call MA'!H72</f>
        <v>1565856.5684082978</v>
      </c>
      <c r="I44" s="81"/>
      <c r="J44" s="81">
        <f>'Call MA'!J72</f>
        <v>0</v>
      </c>
      <c r="K44" s="81">
        <f>'Call MA'!K72</f>
        <v>1386584.8525638736</v>
      </c>
      <c r="L44" s="81"/>
      <c r="M44" s="81">
        <f>'Call MA'!M72</f>
        <v>0</v>
      </c>
    </row>
    <row r="45" spans="1:13" ht="12.75">
      <c r="A45" s="82" t="s">
        <v>30</v>
      </c>
      <c r="B45" s="83">
        <f>B44</f>
        <v>2194798.357450775</v>
      </c>
      <c r="C45" s="83">
        <f>C44</f>
        <v>482666.6568039808</v>
      </c>
      <c r="D45" s="83">
        <f>C45-J12</f>
        <v>294111.1586895358</v>
      </c>
      <c r="E45" s="84">
        <f>'Call MA'!E73</f>
        <v>2188418.345249843</v>
      </c>
      <c r="F45" s="84"/>
      <c r="G45" s="81">
        <f>'Call MA'!G73</f>
        <v>0</v>
      </c>
      <c r="H45" s="81">
        <f>'Call MA'!H73</f>
        <v>1654949.1787067389</v>
      </c>
      <c r="I45" s="81"/>
      <c r="J45" s="81">
        <f>'Call MA'!J73</f>
        <v>0</v>
      </c>
      <c r="K45" s="81">
        <f>'Call MA'!K73</f>
        <v>1445255.5959311398</v>
      </c>
      <c r="L45" s="81"/>
      <c r="M45" s="81">
        <f>'Call MA'!M73</f>
        <v>0</v>
      </c>
    </row>
    <row r="46" spans="1:13" ht="12.75">
      <c r="A46" s="82" t="s">
        <v>31</v>
      </c>
      <c r="B46" s="83">
        <f>B45</f>
        <v>2194798.357450775</v>
      </c>
      <c r="C46" s="83">
        <f>B34</f>
        <v>873135.7333054252</v>
      </c>
      <c r="D46" s="83">
        <f>C46-J12</f>
        <v>684580.2351909801</v>
      </c>
      <c r="E46" s="84">
        <f>'Call MA'!E74</f>
        <v>2188418.345249843</v>
      </c>
      <c r="F46" s="84"/>
      <c r="G46" s="81">
        <f>'Call MA'!G74</f>
        <v>0</v>
      </c>
      <c r="H46" s="81">
        <f>'Call MA'!H74</f>
        <v>1737522.817519928</v>
      </c>
      <c r="I46" s="81"/>
      <c r="J46" s="81">
        <f>'Call MA'!J74</f>
        <v>0</v>
      </c>
      <c r="K46" s="81">
        <f>'Call MA'!K74</f>
        <v>1565856.5684082978</v>
      </c>
      <c r="L46" s="81"/>
      <c r="M46" s="81">
        <f>'Call MA'!M74</f>
        <v>0</v>
      </c>
    </row>
    <row r="47" spans="1:13" ht="12.75">
      <c r="A47" s="82" t="s">
        <v>32</v>
      </c>
      <c r="B47" s="83">
        <f>B46+D16</f>
        <v>2693650</v>
      </c>
      <c r="C47" s="83">
        <f>C46</f>
        <v>873135.7333054252</v>
      </c>
      <c r="D47" s="83">
        <f>C47-J12</f>
        <v>684580.2351909801</v>
      </c>
      <c r="E47" s="84">
        <f>'Call MA'!E75</f>
        <v>2693649.511573092</v>
      </c>
      <c r="F47" s="84"/>
      <c r="G47" s="81">
        <f>'Call MA'!G75</f>
        <v>0</v>
      </c>
      <c r="H47" s="81">
        <f>'Call MA'!H75</f>
        <v>1877138.544450694</v>
      </c>
      <c r="I47" s="81"/>
      <c r="J47" s="81">
        <f>'Call MA'!J75</f>
        <v>0</v>
      </c>
      <c r="K47" s="81">
        <f>'Call MA'!K75</f>
        <v>1654949.1787067389</v>
      </c>
      <c r="L47" s="81"/>
      <c r="M47" s="81">
        <f>'Call MA'!M75</f>
        <v>0</v>
      </c>
    </row>
    <row r="48" spans="1:13" ht="12.75">
      <c r="A48" s="82" t="s">
        <v>33</v>
      </c>
      <c r="B48" s="83">
        <f aca="true" t="shared" si="2" ref="B48:B58">$B$47</f>
        <v>2693650</v>
      </c>
      <c r="C48" s="83">
        <f>C47</f>
        <v>873135.7333054252</v>
      </c>
      <c r="D48" s="83">
        <f>C48-J12</f>
        <v>684580.2351909801</v>
      </c>
      <c r="E48" s="84">
        <f>'Call MA'!E76</f>
        <v>2693649.511573092</v>
      </c>
      <c r="F48" s="84"/>
      <c r="G48" s="81">
        <f>'Call MA'!G76</f>
        <v>0</v>
      </c>
      <c r="H48" s="81">
        <f>'Call MA'!H76</f>
        <v>2006975.8141535823</v>
      </c>
      <c r="I48" s="81"/>
      <c r="J48" s="81">
        <f>'Call MA'!J76</f>
        <v>0</v>
      </c>
      <c r="K48" s="81">
        <f>'Call MA'!K76</f>
        <v>1737522.817519928</v>
      </c>
      <c r="L48" s="81"/>
      <c r="M48" s="81">
        <f>'Call MA'!M76</f>
        <v>0</v>
      </c>
    </row>
    <row r="49" spans="1:13" ht="12.75">
      <c r="A49" s="82" t="s">
        <v>34</v>
      </c>
      <c r="B49" s="83">
        <f t="shared" si="2"/>
        <v>2693650</v>
      </c>
      <c r="C49" s="83">
        <f>C48</f>
        <v>873135.7333054252</v>
      </c>
      <c r="D49" s="83">
        <f>C49-J12</f>
        <v>684580.2351909801</v>
      </c>
      <c r="E49" s="84">
        <f>'Call MA'!E77</f>
        <v>2693649.511573092</v>
      </c>
      <c r="F49" s="84"/>
      <c r="G49" s="81">
        <f>'Call MA'!G77</f>
        <v>0</v>
      </c>
      <c r="H49" s="81">
        <f>'Call MA'!H77</f>
        <v>2098785.750192502</v>
      </c>
      <c r="I49" s="81"/>
      <c r="J49" s="81">
        <f>'Call MA'!J77</f>
        <v>0</v>
      </c>
      <c r="K49" s="81">
        <f>'Call MA'!K77</f>
        <v>1877138.544450694</v>
      </c>
      <c r="L49" s="81"/>
      <c r="M49" s="81">
        <f>'Call MA'!M77</f>
        <v>0</v>
      </c>
    </row>
    <row r="50" spans="1:13" ht="12.75">
      <c r="A50" s="82" t="s">
        <v>35</v>
      </c>
      <c r="B50" s="83">
        <f t="shared" si="2"/>
        <v>2693650</v>
      </c>
      <c r="C50" s="83">
        <f>B35+D14</f>
        <v>1725088.9252812103</v>
      </c>
      <c r="D50" s="83">
        <f>C50-J12</f>
        <v>1536533.4271667653</v>
      </c>
      <c r="E50" s="84">
        <f>'Call MA'!E78</f>
        <v>2693649.511573092</v>
      </c>
      <c r="F50" s="84"/>
      <c r="G50" s="81">
        <f>'Call MA'!G78</f>
        <v>0</v>
      </c>
      <c r="H50" s="81">
        <f>'Call MA'!H78</f>
        <v>2190595.686231422</v>
      </c>
      <c r="I50" s="81"/>
      <c r="J50" s="81">
        <f>'Call MA'!J78</f>
        <v>0</v>
      </c>
      <c r="K50" s="81">
        <f>'Call MA'!K78</f>
        <v>2006975.8141535823</v>
      </c>
      <c r="L50" s="81"/>
      <c r="M50" s="81">
        <f>'Call MA'!M78</f>
        <v>0</v>
      </c>
    </row>
    <row r="51" spans="1:13" ht="12.75">
      <c r="A51" s="82" t="s">
        <v>36</v>
      </c>
      <c r="B51" s="83">
        <f t="shared" si="2"/>
        <v>2693650</v>
      </c>
      <c r="C51" s="83">
        <f>C50</f>
        <v>1725088.9252812103</v>
      </c>
      <c r="D51" s="83">
        <f>C51-J12</f>
        <v>1536533.4271667653</v>
      </c>
      <c r="E51" s="84">
        <f>'Call MA'!E79</f>
        <v>2693649.511573092</v>
      </c>
      <c r="F51" s="84"/>
      <c r="G51" s="81">
        <f>'Call MA'!G79</f>
        <v>0</v>
      </c>
      <c r="H51" s="81">
        <f>'Call MA'!H79</f>
        <v>2282405.6222703415</v>
      </c>
      <c r="I51" s="81"/>
      <c r="J51" s="81">
        <f>'Call MA'!J79</f>
        <v>0</v>
      </c>
      <c r="K51" s="81">
        <f>'Call MA'!K79</f>
        <v>2098785.750192502</v>
      </c>
      <c r="L51" s="81"/>
      <c r="M51" s="81">
        <f>'Call MA'!M79</f>
        <v>0</v>
      </c>
    </row>
    <row r="52" spans="1:13" ht="12.75">
      <c r="A52" s="82" t="s">
        <v>37</v>
      </c>
      <c r="B52" s="83">
        <f t="shared" si="2"/>
        <v>2693650</v>
      </c>
      <c r="C52" s="83">
        <f>C51</f>
        <v>1725088.9252812103</v>
      </c>
      <c r="D52" s="83">
        <f>C52-J12</f>
        <v>1536533.4271667653</v>
      </c>
      <c r="E52" s="84">
        <f>'Call MA'!E80</f>
        <v>2693649.511573092</v>
      </c>
      <c r="F52" s="84"/>
      <c r="G52" s="81">
        <f>'Call MA'!G80</f>
        <v>0</v>
      </c>
      <c r="H52" s="81">
        <f>'Call MA'!H80</f>
        <v>2412242.8919732296</v>
      </c>
      <c r="I52" s="81"/>
      <c r="J52" s="81">
        <f>'Call MA'!J80</f>
        <v>0</v>
      </c>
      <c r="K52" s="81">
        <f>'Call MA'!K80</f>
        <v>2190595.686231422</v>
      </c>
      <c r="L52" s="81"/>
      <c r="M52" s="81">
        <f>'Call MA'!M80</f>
        <v>0</v>
      </c>
    </row>
    <row r="53" spans="1:13" ht="12.75">
      <c r="A53" s="82" t="s">
        <v>38</v>
      </c>
      <c r="B53" s="83">
        <f t="shared" si="2"/>
        <v>2693650</v>
      </c>
      <c r="C53" s="83">
        <f>C52</f>
        <v>1725088.9252812103</v>
      </c>
      <c r="D53" s="83">
        <f>C53-J12</f>
        <v>1536533.4271667653</v>
      </c>
      <c r="E53" s="84">
        <f>'Call MA'!E81</f>
        <v>2693649.511573092</v>
      </c>
      <c r="F53" s="84"/>
      <c r="G53" s="81">
        <f>'Call MA'!G81</f>
        <v>0</v>
      </c>
      <c r="H53" s="81">
        <f>'Call MA'!H81</f>
        <v>2504052.8280121493</v>
      </c>
      <c r="I53" s="81"/>
      <c r="J53" s="81">
        <f>'Call MA'!J81</f>
        <v>0</v>
      </c>
      <c r="K53" s="81">
        <f>'Call MA'!K81</f>
        <v>2282405.6222703415</v>
      </c>
      <c r="L53" s="81"/>
      <c r="M53" s="81">
        <f>'Call MA'!M81</f>
        <v>0</v>
      </c>
    </row>
    <row r="54" spans="1:13" ht="12.75">
      <c r="A54" s="82" t="s">
        <v>39</v>
      </c>
      <c r="B54" s="83">
        <f t="shared" si="2"/>
        <v>2693650</v>
      </c>
      <c r="C54" s="83">
        <f>B46</f>
        <v>2194798.357450775</v>
      </c>
      <c r="D54" s="83">
        <f>C54-J12</f>
        <v>2006242.8593363299</v>
      </c>
      <c r="E54" s="84">
        <f>'Call MA'!E82</f>
        <v>2693649.511573092</v>
      </c>
      <c r="F54" s="84"/>
      <c r="G54" s="81">
        <f>'Call MA'!G82</f>
        <v>0</v>
      </c>
      <c r="H54" s="81">
        <f>'Call MA'!H82</f>
        <v>2554575.9446444744</v>
      </c>
      <c r="I54" s="81"/>
      <c r="J54" s="81">
        <f>'Call MA'!J82</f>
        <v>0</v>
      </c>
      <c r="K54" s="81">
        <f>'Call MA'!K82</f>
        <v>2412242.8919732296</v>
      </c>
      <c r="L54" s="81"/>
      <c r="M54" s="81">
        <f>'Call MA'!M82</f>
        <v>0</v>
      </c>
    </row>
    <row r="55" spans="1:13" ht="12.75">
      <c r="A55" s="82" t="s">
        <v>40</v>
      </c>
      <c r="B55" s="83">
        <f t="shared" si="2"/>
        <v>2693650</v>
      </c>
      <c r="C55" s="83">
        <f>C54</f>
        <v>2194798.357450775</v>
      </c>
      <c r="D55" s="83">
        <f>C55-J12</f>
        <v>2006242.8593363299</v>
      </c>
      <c r="E55" s="84">
        <f>'Call MA'!E83</f>
        <v>2693649.511573092</v>
      </c>
      <c r="F55" s="84"/>
      <c r="G55" s="81">
        <f>'Call MA'!G83</f>
        <v>0</v>
      </c>
      <c r="H55" s="81">
        <f>'Call MA'!H83</f>
        <v>2605099.0612767995</v>
      </c>
      <c r="I55" s="81"/>
      <c r="J55" s="81">
        <f>'Call MA'!J83</f>
        <v>0</v>
      </c>
      <c r="K55" s="81">
        <f>'Call MA'!K83</f>
        <v>2504052.8280121493</v>
      </c>
      <c r="L55" s="81"/>
      <c r="M55" s="81">
        <f>'Call MA'!M83</f>
        <v>0</v>
      </c>
    </row>
    <row r="56" spans="1:13" ht="12.75">
      <c r="A56" s="82" t="s">
        <v>41</v>
      </c>
      <c r="B56" s="83">
        <f t="shared" si="2"/>
        <v>2693650</v>
      </c>
      <c r="C56" s="83">
        <f>C55</f>
        <v>2194798.357450775</v>
      </c>
      <c r="D56" s="83">
        <f>C56-J12</f>
        <v>2006242.8593363299</v>
      </c>
      <c r="E56" s="84">
        <f>'Call MA'!E84</f>
        <v>2693649.511573092</v>
      </c>
      <c r="F56" s="84"/>
      <c r="G56" s="81">
        <f>'Call MA'!G84</f>
        <v>0</v>
      </c>
      <c r="H56" s="81">
        <f>'Call MA'!H84</f>
        <v>2693649.511573093</v>
      </c>
      <c r="I56" s="81"/>
      <c r="J56" s="81">
        <f>'Call MA'!J84</f>
        <v>0</v>
      </c>
      <c r="K56" s="81">
        <f>'Call MA'!K84</f>
        <v>2554575.9446444744</v>
      </c>
      <c r="L56" s="81"/>
      <c r="M56" s="81">
        <f>'Call MA'!M84</f>
        <v>0</v>
      </c>
    </row>
    <row r="57" spans="1:13" ht="12.75">
      <c r="A57" s="82" t="s">
        <v>42</v>
      </c>
      <c r="B57" s="83">
        <f t="shared" si="2"/>
        <v>2693650</v>
      </c>
      <c r="C57" s="83">
        <f>C56</f>
        <v>2194798.357450775</v>
      </c>
      <c r="D57" s="83">
        <f>C57-J12</f>
        <v>2006242.8593363299</v>
      </c>
      <c r="E57" s="84">
        <f>'Call MA'!E85</f>
        <v>2693649.511573092</v>
      </c>
      <c r="F57" s="84"/>
      <c r="G57" s="81">
        <f>'Call MA'!G85</f>
        <v>0</v>
      </c>
      <c r="H57" s="81">
        <f>'Call MA'!H85</f>
        <v>2693649.511573093</v>
      </c>
      <c r="I57" s="81"/>
      <c r="J57" s="81">
        <f>'Call MA'!J85</f>
        <v>0</v>
      </c>
      <c r="K57" s="81">
        <f>'Call MA'!K85</f>
        <v>2605099.0612767995</v>
      </c>
      <c r="L57" s="81"/>
      <c r="M57" s="81">
        <f>'Call MA'!M85</f>
        <v>0</v>
      </c>
    </row>
    <row r="58" spans="1:13" ht="12.75">
      <c r="A58" s="82" t="s">
        <v>43</v>
      </c>
      <c r="B58" s="83">
        <f t="shared" si="2"/>
        <v>2693650</v>
      </c>
      <c r="C58" s="83">
        <f>B47</f>
        <v>2693650</v>
      </c>
      <c r="D58" s="83">
        <f>C58</f>
        <v>2693650</v>
      </c>
      <c r="E58" s="84">
        <f>'Call MA'!E86</f>
        <v>2693649.511573092</v>
      </c>
      <c r="F58" s="84"/>
      <c r="G58" s="81">
        <f>'Call MA'!G86</f>
        <v>0</v>
      </c>
      <c r="H58" s="81">
        <f>'Call MA'!H86</f>
        <v>2693649.511573093</v>
      </c>
      <c r="I58" s="81"/>
      <c r="J58" s="81">
        <f>'Call MA'!J86</f>
        <v>0</v>
      </c>
      <c r="K58" s="81">
        <f>'Call MA'!K86</f>
        <v>2693649.511573093</v>
      </c>
      <c r="L58" s="81"/>
      <c r="M58" s="81">
        <f>'Call MA'!M86</f>
        <v>0</v>
      </c>
    </row>
  </sheetData>
  <mergeCells count="2">
    <mergeCell ref="A7:C7"/>
    <mergeCell ref="A2:M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21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sec219</cp:lastModifiedBy>
  <cp:lastPrinted>2008-08-06T17:15:02Z</cp:lastPrinted>
  <dcterms:created xsi:type="dcterms:W3CDTF">1996-10-14T23:33:28Z</dcterms:created>
  <dcterms:modified xsi:type="dcterms:W3CDTF">2008-08-08T14:47:27Z</dcterms:modified>
  <cp:category/>
  <cp:version/>
  <cp:contentType/>
  <cp:contentStatus/>
</cp:coreProperties>
</file>